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04" yWindow="36" windowWidth="12120" windowHeight="8820"/>
  </bookViews>
  <sheets>
    <sheet name="Cash Flow" sheetId="1" r:id="rId1"/>
  </sheets>
  <definedNames>
    <definedName name="_xlnm.Print_Titles" localSheetId="0">'Cash Flow'!$6:$6</definedName>
  </definedNames>
  <calcPr calcId="145621"/>
</workbook>
</file>

<file path=xl/calcChain.xml><?xml version="1.0" encoding="utf-8"?>
<calcChain xmlns="http://schemas.openxmlformats.org/spreadsheetml/2006/main">
  <c r="U44" i="1" l="1"/>
  <c r="S44" i="1"/>
  <c r="T50" i="1"/>
  <c r="S49" i="1"/>
  <c r="R49" i="1"/>
  <c r="P49" i="1"/>
  <c r="T18" i="1"/>
  <c r="T35" i="1"/>
  <c r="X45" i="1"/>
  <c r="X36" i="1"/>
  <c r="X35" i="1"/>
  <c r="X19" i="1"/>
  <c r="X18" i="1"/>
  <c r="X17" i="1"/>
  <c r="T44" i="1"/>
  <c r="N74" i="1"/>
  <c r="T17" i="1"/>
  <c r="T22" i="1" s="1"/>
  <c r="S73" i="1"/>
  <c r="R73" i="1"/>
  <c r="T65" i="1"/>
  <c r="T64" i="1"/>
  <c r="T63" i="1"/>
  <c r="T62" i="1"/>
  <c r="T61" i="1"/>
  <c r="T60" i="1"/>
  <c r="T59" i="1"/>
  <c r="T58" i="1"/>
  <c r="T57" i="1"/>
  <c r="T56" i="1"/>
  <c r="T55" i="1"/>
  <c r="T54" i="1"/>
  <c r="T49" i="1"/>
  <c r="T48" i="1"/>
  <c r="T42" i="1"/>
  <c r="T26" i="1"/>
  <c r="T52" i="1" l="1"/>
  <c r="T72" i="1"/>
  <c r="V11" i="1"/>
  <c r="V13" i="1" s="1"/>
  <c r="S11" i="1"/>
  <c r="S13" i="1" s="1"/>
  <c r="U11" i="1"/>
  <c r="W11" i="1"/>
  <c r="W13" i="1" s="1"/>
  <c r="R11" i="1"/>
  <c r="R12" i="1"/>
  <c r="X12" i="1" s="1"/>
  <c r="Q12" i="1"/>
  <c r="Q11" i="1"/>
  <c r="Q13" i="1" s="1"/>
  <c r="P51" i="1"/>
  <c r="K26" i="1"/>
  <c r="X26" i="1" s="1"/>
  <c r="X74" i="1"/>
  <c r="X78" i="1"/>
  <c r="N78" i="1"/>
  <c r="L75" i="1"/>
  <c r="W73" i="1"/>
  <c r="Y18" i="1"/>
  <c r="U73" i="1"/>
  <c r="V73" i="1"/>
  <c r="Q73" i="1"/>
  <c r="P73" i="1"/>
  <c r="O73" i="1"/>
  <c r="N73" i="1"/>
  <c r="L20" i="1"/>
  <c r="M20" i="1" s="1"/>
  <c r="X77" i="1"/>
  <c r="P21" i="1"/>
  <c r="O21" i="1"/>
  <c r="X16" i="1"/>
  <c r="K80" i="1"/>
  <c r="K83" i="1"/>
  <c r="K82" i="1"/>
  <c r="K81" i="1"/>
  <c r="K79" i="1"/>
  <c r="K76" i="1"/>
  <c r="X76" i="1" s="1"/>
  <c r="K66" i="1"/>
  <c r="X66" i="1" s="1"/>
  <c r="K65" i="1"/>
  <c r="X65" i="1" s="1"/>
  <c r="K64" i="1"/>
  <c r="X64" i="1" s="1"/>
  <c r="K63" i="1"/>
  <c r="X63" i="1" s="1"/>
  <c r="K62" i="1"/>
  <c r="X62" i="1" s="1"/>
  <c r="K61" i="1"/>
  <c r="X61" i="1" s="1"/>
  <c r="K60" i="1"/>
  <c r="X60" i="1" s="1"/>
  <c r="K59" i="1"/>
  <c r="X59" i="1" s="1"/>
  <c r="K58" i="1"/>
  <c r="X58" i="1" s="1"/>
  <c r="K57" i="1"/>
  <c r="X57" i="1" s="1"/>
  <c r="K56" i="1"/>
  <c r="X56" i="1" s="1"/>
  <c r="K54" i="1"/>
  <c r="X54" i="1" s="1"/>
  <c r="K51" i="1"/>
  <c r="K50" i="1"/>
  <c r="X50" i="1" s="1"/>
  <c r="K49" i="1"/>
  <c r="X49" i="1" s="1"/>
  <c r="K48" i="1"/>
  <c r="X48" i="1" s="1"/>
  <c r="K47" i="1"/>
  <c r="X47" i="1" s="1"/>
  <c r="K46" i="1"/>
  <c r="X46" i="1" s="1"/>
  <c r="K43" i="1"/>
  <c r="X43" i="1" s="1"/>
  <c r="K44" i="1"/>
  <c r="X44" i="1" s="1"/>
  <c r="K42" i="1"/>
  <c r="X42" i="1" s="1"/>
  <c r="K41" i="1"/>
  <c r="X41" i="1" s="1"/>
  <c r="K40" i="1"/>
  <c r="X40" i="1" s="1"/>
  <c r="K39" i="1"/>
  <c r="X39" i="1" s="1"/>
  <c r="K38" i="1"/>
  <c r="X38" i="1" s="1"/>
  <c r="K37" i="1"/>
  <c r="X37" i="1" s="1"/>
  <c r="Y37" i="1" s="1"/>
  <c r="K34" i="1"/>
  <c r="X34" i="1" s="1"/>
  <c r="K33" i="1"/>
  <c r="X33" i="1" s="1"/>
  <c r="K32" i="1"/>
  <c r="X32" i="1" s="1"/>
  <c r="K31" i="1"/>
  <c r="X31" i="1" s="1"/>
  <c r="K30" i="1"/>
  <c r="X30" i="1" s="1"/>
  <c r="K29" i="1"/>
  <c r="X29" i="1" s="1"/>
  <c r="K28" i="1"/>
  <c r="X28" i="1" s="1"/>
  <c r="K27" i="1"/>
  <c r="X27" i="1" s="1"/>
  <c r="K15" i="1"/>
  <c r="K11" i="1"/>
  <c r="K10" i="1"/>
  <c r="L72" i="1"/>
  <c r="L21" i="1"/>
  <c r="L52" i="1"/>
  <c r="V72" i="1"/>
  <c r="U72" i="1"/>
  <c r="H52" i="1"/>
  <c r="H84" i="1" s="1"/>
  <c r="H21" i="1"/>
  <c r="O51" i="1"/>
  <c r="N51" i="1"/>
  <c r="T85" i="1" l="1"/>
  <c r="Y43" i="1"/>
  <c r="Z44" i="1" s="1"/>
  <c r="Y45" i="1"/>
  <c r="Q80" i="1"/>
  <c r="Q14" i="1"/>
  <c r="Q21" i="1" s="1"/>
  <c r="Q51" i="1"/>
  <c r="W80" i="1"/>
  <c r="W14" i="1"/>
  <c r="W21" i="1" s="1"/>
  <c r="W51" i="1"/>
  <c r="V80" i="1"/>
  <c r="V14" i="1"/>
  <c r="V21" i="1" s="1"/>
  <c r="V51" i="1"/>
  <c r="U13" i="1"/>
  <c r="S80" i="1"/>
  <c r="S14" i="1"/>
  <c r="S21" i="1" s="1"/>
  <c r="S51" i="1"/>
  <c r="R13" i="1"/>
  <c r="X11" i="1"/>
  <c r="X13" i="1" s="1"/>
  <c r="N20" i="1"/>
  <c r="N75" i="1"/>
  <c r="M75" i="1"/>
  <c r="L84" i="1"/>
  <c r="P80" i="1"/>
  <c r="V52" i="1"/>
  <c r="S52" i="1"/>
  <c r="N21" i="1"/>
  <c r="X79" i="1"/>
  <c r="I21" i="1"/>
  <c r="I72" i="1"/>
  <c r="X9" i="1"/>
  <c r="X15" i="1"/>
  <c r="W72" i="1"/>
  <c r="S72" i="1"/>
  <c r="R72" i="1"/>
  <c r="X83" i="1"/>
  <c r="X82" i="1"/>
  <c r="X81" i="1"/>
  <c r="R80" i="1" l="1"/>
  <c r="R14" i="1"/>
  <c r="R21" i="1" s="1"/>
  <c r="R51" i="1"/>
  <c r="U80" i="1"/>
  <c r="U14" i="1"/>
  <c r="U52" i="1" s="1"/>
  <c r="U51" i="1"/>
  <c r="Y13" i="1"/>
  <c r="O20" i="1"/>
  <c r="O75" i="1"/>
  <c r="W52" i="1"/>
  <c r="K71" i="1"/>
  <c r="X71" i="1" s="1"/>
  <c r="K70" i="1"/>
  <c r="X70" i="1" s="1"/>
  <c r="K69" i="1"/>
  <c r="X69" i="1" s="1"/>
  <c r="K68" i="1"/>
  <c r="X68" i="1" s="1"/>
  <c r="K67" i="1"/>
  <c r="X67" i="1" s="1"/>
  <c r="Y50" i="1"/>
  <c r="U21" i="1" l="1"/>
  <c r="X14" i="1"/>
  <c r="Y47" i="1"/>
  <c r="Y35" i="1"/>
  <c r="Y41" i="1"/>
  <c r="X21" i="1"/>
  <c r="Y21" i="1" s="1"/>
  <c r="Y19" i="1"/>
  <c r="Y49" i="1"/>
  <c r="P20" i="1"/>
  <c r="P75" i="1"/>
  <c r="I73" i="1"/>
  <c r="X80" i="1"/>
  <c r="M51" i="1"/>
  <c r="X51" i="1" s="1"/>
  <c r="Q72" i="1"/>
  <c r="O72" i="1"/>
  <c r="N72" i="1"/>
  <c r="G72" i="1"/>
  <c r="E72" i="1"/>
  <c r="C72" i="1"/>
  <c r="B72" i="1"/>
  <c r="I52" i="1"/>
  <c r="I84" i="1" s="1"/>
  <c r="G52" i="1"/>
  <c r="F52" i="1"/>
  <c r="E52" i="1"/>
  <c r="D52" i="1"/>
  <c r="C52" i="1"/>
  <c r="B52" i="1"/>
  <c r="P72" i="1"/>
  <c r="M55" i="1"/>
  <c r="F55" i="1"/>
  <c r="F72" i="1" s="1"/>
  <c r="D55" i="1"/>
  <c r="C21" i="1"/>
  <c r="D21" i="1"/>
  <c r="E21" i="1"/>
  <c r="F21" i="1"/>
  <c r="G21" i="1"/>
  <c r="B21" i="1"/>
  <c r="B22" i="1" s="1"/>
  <c r="M52" i="1"/>
  <c r="N52" i="1"/>
  <c r="Q52" i="1"/>
  <c r="O52" i="1"/>
  <c r="R52" i="1"/>
  <c r="X73" i="1" l="1"/>
  <c r="Q75" i="1"/>
  <c r="Q84" i="1" s="1"/>
  <c r="Q20" i="1"/>
  <c r="K55" i="1"/>
  <c r="X55" i="1" s="1"/>
  <c r="F84" i="1"/>
  <c r="C84" i="1"/>
  <c r="G84" i="1"/>
  <c r="O84" i="1"/>
  <c r="B84" i="1"/>
  <c r="E84" i="1"/>
  <c r="B85" i="1"/>
  <c r="C7" i="1" s="1"/>
  <c r="C22" i="1" s="1"/>
  <c r="Y51" i="1"/>
  <c r="K21" i="1"/>
  <c r="D72" i="1"/>
  <c r="D84" i="1" s="1"/>
  <c r="P52" i="1"/>
  <c r="P84" i="1" s="1"/>
  <c r="R75" i="1" l="1"/>
  <c r="R84" i="1" s="1"/>
  <c r="R20" i="1"/>
  <c r="C85" i="1"/>
  <c r="D7" i="1" s="1"/>
  <c r="D22" i="1" s="1"/>
  <c r="D85" i="1" s="1"/>
  <c r="E7" i="1" s="1"/>
  <c r="E22" i="1" s="1"/>
  <c r="K72" i="1"/>
  <c r="S75" i="1" l="1"/>
  <c r="S20" i="1"/>
  <c r="E85" i="1"/>
  <c r="F7" i="1" s="1"/>
  <c r="F22" i="1" s="1"/>
  <c r="F85" i="1" s="1"/>
  <c r="G7" i="1" s="1"/>
  <c r="G22" i="1" s="1"/>
  <c r="M72" i="1"/>
  <c r="M84" i="1" s="1"/>
  <c r="S84" i="1" l="1"/>
  <c r="U75" i="1"/>
  <c r="U84" i="1" s="1"/>
  <c r="U20" i="1"/>
  <c r="G85" i="1"/>
  <c r="X72" i="1"/>
  <c r="V75" i="1" l="1"/>
  <c r="V20" i="1"/>
  <c r="I7" i="1"/>
  <c r="I22" i="1" s="1"/>
  <c r="I85" i="1" s="1"/>
  <c r="L7" i="1" s="1"/>
  <c r="L22" i="1" s="1"/>
  <c r="L85" i="1" s="1"/>
  <c r="M7" i="1" s="1"/>
  <c r="H7" i="1"/>
  <c r="H22" i="1" s="1"/>
  <c r="H85" i="1" s="1"/>
  <c r="M21" i="1"/>
  <c r="V84" i="1" l="1"/>
  <c r="W20" i="1"/>
  <c r="W75" i="1"/>
  <c r="M22" i="1"/>
  <c r="M85" i="1" s="1"/>
  <c r="N7" i="1" s="1"/>
  <c r="N22" i="1" s="1"/>
  <c r="W84" i="1" l="1"/>
  <c r="X75" i="1"/>
  <c r="Y83" i="1" s="1"/>
  <c r="X52" i="1"/>
  <c r="Y72" i="1" s="1"/>
  <c r="K52" i="1"/>
  <c r="K84" i="1" s="1"/>
  <c r="Y74" i="1" l="1"/>
  <c r="Y73" i="1"/>
  <c r="N84" i="1"/>
  <c r="N85" i="1" s="1"/>
  <c r="O7" i="1" s="1"/>
  <c r="O22" i="1" s="1"/>
  <c r="O85" i="1" s="1"/>
  <c r="P7" i="1" s="1"/>
  <c r="P22" i="1" s="1"/>
  <c r="P85" i="1" s="1"/>
  <c r="Q7" i="1" s="1"/>
  <c r="Q22" i="1" s="1"/>
  <c r="Q85" i="1" s="1"/>
  <c r="R7" i="1" s="1"/>
  <c r="R22" i="1" s="1"/>
  <c r="R85" i="1" s="1"/>
  <c r="S7" i="1" s="1"/>
  <c r="S22" i="1" s="1"/>
  <c r="S85" i="1" s="1"/>
  <c r="W7" i="1" l="1"/>
  <c r="U7" i="1"/>
  <c r="U22" i="1" s="1"/>
  <c r="U85" i="1" s="1"/>
  <c r="V7" i="1" s="1"/>
  <c r="X84" i="1"/>
  <c r="Y84" i="1"/>
  <c r="W22" i="1" l="1"/>
  <c r="W85" i="1" s="1"/>
  <c r="V22" i="1"/>
  <c r="V85" i="1" s="1"/>
</calcChain>
</file>

<file path=xl/comments1.xml><?xml version="1.0" encoding="utf-8"?>
<comments xmlns="http://schemas.openxmlformats.org/spreadsheetml/2006/main">
  <authors>
    <author>Microsoft</author>
    <author>Big Daddy</author>
  </authors>
  <commentList>
    <comment ref="B21" authorId="0">
      <text>
        <r>
          <rPr>
            <b/>
            <sz val="8"/>
            <color indexed="81"/>
            <rFont val="Tahoma"/>
            <family val="2"/>
          </rPr>
          <t>Totals are calculated automatically.</t>
        </r>
      </text>
    </comment>
    <comment ref="A48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A49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A51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A54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55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sharedStrings.xml><?xml version="1.0" encoding="utf-8"?>
<sst xmlns="http://schemas.openxmlformats.org/spreadsheetml/2006/main" count="121" uniqueCount="118">
  <si>
    <t>Loan/ other cash inj.</t>
  </si>
  <si>
    <t>TOTAL CASH RECEIPTS</t>
  </si>
  <si>
    <t>CASH PAID OUT</t>
  </si>
  <si>
    <t>Advertising</t>
  </si>
  <si>
    <t>Telephone</t>
  </si>
  <si>
    <t>Utilities</t>
  </si>
  <si>
    <t>Insurance</t>
  </si>
  <si>
    <t>Other expenses (specify)</t>
  </si>
  <si>
    <t>Other (specify)</t>
  </si>
  <si>
    <t>Other startup costs</t>
  </si>
  <si>
    <t>Reserve and/or Escrow</t>
  </si>
  <si>
    <t>TOTAL CASH PAID OUT</t>
  </si>
  <si>
    <t>Sales Volume (dollars)</t>
  </si>
  <si>
    <t>Accounts Receivable</t>
  </si>
  <si>
    <t>Inventory on hand (eom)</t>
  </si>
  <si>
    <t>Accounts Payable (eom)</t>
  </si>
  <si>
    <t>Fiscal Year Begins:</t>
  </si>
  <si>
    <t>ESSENTIAL OPERATING DATA (non cash flow information)</t>
  </si>
  <si>
    <t>Owners' Withdrawal</t>
  </si>
  <si>
    <t>Cooke Riverside Prop. LLC.</t>
  </si>
  <si>
    <t>1 Qtr-08</t>
  </si>
  <si>
    <t>2 Qtr-08</t>
  </si>
  <si>
    <t>3 Qtr-08</t>
  </si>
  <si>
    <t>4 Qtr-08</t>
  </si>
  <si>
    <t>1 Qtr-09</t>
  </si>
  <si>
    <t>2 Qtr-09</t>
  </si>
  <si>
    <t>1 Qtr-10</t>
  </si>
  <si>
    <t>2 Qtr-10</t>
  </si>
  <si>
    <t>3 Qtr-10</t>
  </si>
  <si>
    <t>4 Qtr-10</t>
  </si>
  <si>
    <t>Short Plat Process</t>
  </si>
  <si>
    <t>Pre-Short Plat EST</t>
  </si>
  <si>
    <t xml:space="preserve">Salary expenses </t>
  </si>
  <si>
    <t xml:space="preserve">Payroll expenses </t>
  </si>
  <si>
    <t>Supplies (office &amp; op.)</t>
  </si>
  <si>
    <t>Car, delivery and travel</t>
  </si>
  <si>
    <t>Accounting and legal</t>
  </si>
  <si>
    <t>Internet</t>
  </si>
  <si>
    <t>Taxes(real estate, WA.)</t>
  </si>
  <si>
    <t>Home Loan Interest</t>
  </si>
  <si>
    <t>Misc. (unspecified)</t>
  </si>
  <si>
    <t>Cost of Sales</t>
  </si>
  <si>
    <t xml:space="preserve">Architectural </t>
  </si>
  <si>
    <t>Structural Eng.</t>
  </si>
  <si>
    <t>Archit. landscpDNW</t>
  </si>
  <si>
    <t>Geo Tech Eng</t>
  </si>
  <si>
    <t>Tree service</t>
  </si>
  <si>
    <t>Utilities installation</t>
  </si>
  <si>
    <t>Muni permits and fees</t>
  </si>
  <si>
    <t>Water Features</t>
  </si>
  <si>
    <t>Wetland Biologist ESA</t>
  </si>
  <si>
    <t>Solar/Green Options</t>
  </si>
  <si>
    <t>Photo Voltaic System</t>
  </si>
  <si>
    <t>Land Survey</t>
  </si>
  <si>
    <t>Other permit fees</t>
  </si>
  <si>
    <t>Contingency</t>
  </si>
  <si>
    <t>Realty Sales Force</t>
  </si>
  <si>
    <t>SubTotal Cost of Sales</t>
  </si>
  <si>
    <t>Health Insurance</t>
  </si>
  <si>
    <t>Owner Cash</t>
  </si>
  <si>
    <t>Construct. Loan Principle</t>
  </si>
  <si>
    <t>Construction  and Sales Phase</t>
  </si>
  <si>
    <t>Property #1-9</t>
  </si>
  <si>
    <t xml:space="preserve"> </t>
  </si>
  <si>
    <t>Total Short Plat Exp</t>
  </si>
  <si>
    <t>Landscape Architect</t>
  </si>
  <si>
    <t>9 Units</t>
  </si>
  <si>
    <t>Lots #1-9+Improvmts</t>
  </si>
  <si>
    <t>1 Qtr-11</t>
  </si>
  <si>
    <t>Civil Eng- Blueline</t>
  </si>
  <si>
    <t>Sewall Wet Consult</t>
  </si>
  <si>
    <t>Expenses</t>
  </si>
  <si>
    <t>Loan Reserve</t>
  </si>
  <si>
    <t>4 Year Cash Flow Statement</t>
  </si>
  <si>
    <t>Cash on Hand              (beginning of month)</t>
  </si>
  <si>
    <t>Total Cash Available        (before cash out)</t>
  </si>
  <si>
    <t>Retire Home Loan Principle</t>
  </si>
  <si>
    <t>Landscaping</t>
  </si>
  <si>
    <t>SubTotal Expenses</t>
  </si>
  <si>
    <t>Cash Position   (End of Quarter)</t>
  </si>
  <si>
    <t>CASH RECEIPTS:  Houses Sold</t>
  </si>
  <si>
    <t>2 Qtr-11</t>
  </si>
  <si>
    <t xml:space="preserve">Total </t>
  </si>
  <si>
    <t>3 Qtr-11</t>
  </si>
  <si>
    <t>4 Qtr-11</t>
  </si>
  <si>
    <t>1 Qtr 12</t>
  </si>
  <si>
    <t>2 Qtr 12</t>
  </si>
  <si>
    <t>3 Qtr 12</t>
  </si>
  <si>
    <t>Debt Service( Const.)SEP</t>
  </si>
  <si>
    <t>Debt Service( Const.)Private</t>
  </si>
  <si>
    <t>SEP funds Loan</t>
  </si>
  <si>
    <t>SEP funds Grant</t>
  </si>
  <si>
    <t>Construct. Loan Principle SEP</t>
  </si>
  <si>
    <t>Cum Loan Balance</t>
  </si>
  <si>
    <t>Dept Origination Charge SEP</t>
  </si>
  <si>
    <t>Taxes collected at sale</t>
  </si>
  <si>
    <t>Short Plat Excavation</t>
  </si>
  <si>
    <t>T Exp</t>
  </si>
  <si>
    <t>Net</t>
  </si>
  <si>
    <t>Profit</t>
  </si>
  <si>
    <t>2 PV, 2Hw</t>
  </si>
  <si>
    <t>2PC, 2Hw</t>
  </si>
  <si>
    <t>1PV, 1Hw</t>
  </si>
  <si>
    <t>2PV, 1Hw</t>
  </si>
  <si>
    <t>1 PW, 0Hw</t>
  </si>
  <si>
    <t>1 PV, 0Hw</t>
  </si>
  <si>
    <t>Total Sales Price</t>
  </si>
  <si>
    <t>Solar Additions</t>
  </si>
  <si>
    <t>Dept Origination Charge Private</t>
  </si>
  <si>
    <t>SEP Funds</t>
  </si>
  <si>
    <t>Archeologist</t>
  </si>
  <si>
    <t>3Qtr-10</t>
  </si>
  <si>
    <t>4Qtr-10</t>
  </si>
  <si>
    <t>Excavation Foundation</t>
  </si>
  <si>
    <t>Builder other construction</t>
  </si>
  <si>
    <t>Concrete contractor foundation ICF</t>
  </si>
  <si>
    <t>Concrete contractor Road+walkways</t>
  </si>
  <si>
    <t>Builder SIPS+Solar Tower+Tromb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</si>
</sst>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Book Antiqua"/>
      <family val="1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Alignment="1"/>
    <xf numFmtId="0" fontId="0" fillId="0" borderId="0" xfId="0" applyBorder="1"/>
    <xf numFmtId="0" fontId="0" fillId="0" borderId="0" xfId="0" applyBorder="1" applyAlignment="1"/>
    <xf numFmtId="0" fontId="2" fillId="0" borderId="1" xfId="0" applyFont="1" applyBorder="1" applyAlignment="1">
      <alignment wrapText="1"/>
    </xf>
    <xf numFmtId="3" fontId="0" fillId="0" borderId="1" xfId="0" applyNumberFormat="1" applyBorder="1"/>
    <xf numFmtId="3" fontId="0" fillId="0" borderId="3" xfId="0" applyNumberFormat="1" applyBorder="1"/>
    <xf numFmtId="3" fontId="0" fillId="0" borderId="6" xfId="0" applyNumberFormat="1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0" borderId="6" xfId="0" applyBorder="1"/>
    <xf numFmtId="0" fontId="1" fillId="0" borderId="1" xfId="0" applyFont="1" applyBorder="1" applyAlignment="1"/>
    <xf numFmtId="0" fontId="2" fillId="0" borderId="0" xfId="0" applyFont="1" applyBorder="1"/>
    <xf numFmtId="0" fontId="0" fillId="0" borderId="2" xfId="0" applyBorder="1"/>
    <xf numFmtId="3" fontId="0" fillId="0" borderId="0" xfId="0" applyNumberFormat="1"/>
    <xf numFmtId="3" fontId="6" fillId="0" borderId="0" xfId="0" applyNumberFormat="1" applyFont="1" applyBorder="1"/>
    <xf numFmtId="3" fontId="0" fillId="0" borderId="0" xfId="0" applyNumberFormat="1" applyBorder="1"/>
    <xf numFmtId="3" fontId="5" fillId="0" borderId="1" xfId="0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right" wrapText="1"/>
    </xf>
    <xf numFmtId="3" fontId="5" fillId="0" borderId="37" xfId="0" applyNumberFormat="1" applyFont="1" applyBorder="1" applyAlignment="1">
      <alignment wrapText="1"/>
    </xf>
    <xf numFmtId="3" fontId="5" fillId="0" borderId="21" xfId="0" applyNumberFormat="1" applyFont="1" applyBorder="1" applyAlignment="1">
      <alignment wrapText="1"/>
    </xf>
    <xf numFmtId="3" fontId="5" fillId="0" borderId="2" xfId="0" applyNumberFormat="1" applyFont="1" applyBorder="1" applyAlignment="1">
      <alignment wrapText="1"/>
    </xf>
    <xf numFmtId="3" fontId="5" fillId="0" borderId="30" xfId="0" applyNumberFormat="1" applyFont="1" applyBorder="1" applyAlignment="1">
      <alignment wrapText="1"/>
    </xf>
    <xf numFmtId="3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3" fontId="5" fillId="0" borderId="0" xfId="0" applyNumberFormat="1" applyFont="1" applyAlignment="1">
      <alignment wrapText="1"/>
    </xf>
    <xf numFmtId="0" fontId="10" fillId="0" borderId="0" xfId="0" applyFont="1" applyAlignment="1"/>
    <xf numFmtId="3" fontId="9" fillId="0" borderId="11" xfId="0" applyNumberFormat="1" applyFont="1" applyBorder="1"/>
    <xf numFmtId="3" fontId="9" fillId="0" borderId="30" xfId="0" applyNumberFormat="1" applyFont="1" applyBorder="1"/>
    <xf numFmtId="3" fontId="9" fillId="0" borderId="36" xfId="0" applyNumberFormat="1" applyFont="1" applyBorder="1"/>
    <xf numFmtId="3" fontId="9" fillId="0" borderId="0" xfId="0" applyNumberFormat="1" applyFont="1" applyBorder="1"/>
    <xf numFmtId="3" fontId="9" fillId="0" borderId="28" xfId="0" applyNumberFormat="1" applyFont="1" applyBorder="1"/>
    <xf numFmtId="0" fontId="9" fillId="0" borderId="0" xfId="0" applyFont="1"/>
    <xf numFmtId="3" fontId="9" fillId="0" borderId="5" xfId="0" applyNumberFormat="1" applyFont="1" applyBorder="1"/>
    <xf numFmtId="3" fontId="9" fillId="0" borderId="37" xfId="0" applyNumberFormat="1" applyFont="1" applyBorder="1"/>
    <xf numFmtId="3" fontId="9" fillId="0" borderId="29" xfId="0" applyNumberFormat="1" applyFont="1" applyBorder="1"/>
    <xf numFmtId="3" fontId="9" fillId="0" borderId="1" xfId="0" applyNumberFormat="1" applyFont="1" applyBorder="1"/>
    <xf numFmtId="3" fontId="9" fillId="0" borderId="2" xfId="0" applyNumberFormat="1" applyFont="1" applyBorder="1"/>
    <xf numFmtId="3" fontId="9" fillId="0" borderId="6" xfId="0" applyNumberFormat="1" applyFont="1" applyBorder="1"/>
    <xf numFmtId="3" fontId="9" fillId="0" borderId="2" xfId="0" applyNumberFormat="1" applyFont="1" applyBorder="1" applyAlignment="1">
      <alignment horizontal="center"/>
    </xf>
    <xf numFmtId="3" fontId="9" fillId="0" borderId="21" xfId="0" applyNumberFormat="1" applyFont="1" applyBorder="1" applyAlignment="1">
      <alignment horizontal="center"/>
    </xf>
    <xf numFmtId="3" fontId="9" fillId="0" borderId="30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wrapText="1"/>
    </xf>
    <xf numFmtId="1" fontId="9" fillId="0" borderId="30" xfId="0" applyNumberFormat="1" applyFont="1" applyBorder="1" applyAlignment="1">
      <alignment wrapText="1"/>
    </xf>
    <xf numFmtId="3" fontId="9" fillId="0" borderId="37" xfId="0" applyNumberFormat="1" applyFont="1" applyBorder="1" applyAlignment="1">
      <alignment wrapText="1"/>
    </xf>
    <xf numFmtId="3" fontId="9" fillId="0" borderId="3" xfId="0" applyNumberFormat="1" applyFont="1" applyBorder="1" applyAlignment="1">
      <alignment wrapText="1"/>
    </xf>
    <xf numFmtId="3" fontId="9" fillId="0" borderId="21" xfId="0" applyNumberFormat="1" applyFont="1" applyBorder="1"/>
    <xf numFmtId="3" fontId="9" fillId="0" borderId="1" xfId="0" applyNumberFormat="1" applyFont="1" applyBorder="1" applyAlignment="1">
      <alignment wrapText="1"/>
    </xf>
    <xf numFmtId="3" fontId="9" fillId="0" borderId="18" xfId="0" applyNumberFormat="1" applyFont="1" applyBorder="1" applyAlignment="1">
      <alignment wrapText="1"/>
    </xf>
    <xf numFmtId="3" fontId="9" fillId="0" borderId="30" xfId="0" applyNumberFormat="1" applyFont="1" applyBorder="1" applyAlignment="1">
      <alignment wrapText="1"/>
    </xf>
    <xf numFmtId="3" fontId="9" fillId="0" borderId="0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wrapText="1"/>
    </xf>
    <xf numFmtId="3" fontId="9" fillId="0" borderId="0" xfId="0" applyNumberFormat="1" applyFont="1" applyAlignment="1">
      <alignment wrapText="1"/>
    </xf>
    <xf numFmtId="3" fontId="9" fillId="0" borderId="8" xfId="0" applyNumberFormat="1" applyFont="1" applyBorder="1" applyAlignment="1">
      <alignment wrapText="1"/>
    </xf>
    <xf numFmtId="3" fontId="9" fillId="0" borderId="20" xfId="0" applyNumberFormat="1" applyFont="1" applyBorder="1" applyAlignment="1">
      <alignment wrapText="1"/>
    </xf>
    <xf numFmtId="3" fontId="9" fillId="0" borderId="12" xfId="0" applyNumberFormat="1" applyFont="1" applyBorder="1" applyAlignment="1">
      <alignment wrapText="1"/>
    </xf>
    <xf numFmtId="3" fontId="9" fillId="0" borderId="22" xfId="0" applyNumberFormat="1" applyFont="1" applyBorder="1" applyAlignment="1">
      <alignment wrapText="1"/>
    </xf>
    <xf numFmtId="3" fontId="9" fillId="0" borderId="2" xfId="0" applyNumberFormat="1" applyFont="1" applyBorder="1" applyAlignment="1">
      <alignment wrapText="1"/>
    </xf>
    <xf numFmtId="1" fontId="5" fillId="0" borderId="3" xfId="0" applyNumberFormat="1" applyFont="1" applyBorder="1" applyAlignment="1">
      <alignment wrapText="1"/>
    </xf>
    <xf numFmtId="0" fontId="5" fillId="0" borderId="1" xfId="0" applyFont="1" applyBorder="1"/>
    <xf numFmtId="3" fontId="5" fillId="0" borderId="1" xfId="0" applyNumberFormat="1" applyFont="1" applyBorder="1"/>
    <xf numFmtId="3" fontId="5" fillId="0" borderId="37" xfId="0" applyNumberFormat="1" applyFont="1" applyBorder="1"/>
    <xf numFmtId="3" fontId="5" fillId="0" borderId="2" xfId="0" applyNumberFormat="1" applyFont="1" applyBorder="1"/>
    <xf numFmtId="0" fontId="5" fillId="0" borderId="0" xfId="0" applyFont="1"/>
    <xf numFmtId="3" fontId="9" fillId="0" borderId="9" xfId="0" applyNumberFormat="1" applyFont="1" applyBorder="1"/>
    <xf numFmtId="3" fontId="9" fillId="0" borderId="10" xfId="0" applyNumberFormat="1" applyFont="1" applyBorder="1"/>
    <xf numFmtId="3" fontId="9" fillId="0" borderId="4" xfId="0" applyNumberFormat="1" applyFont="1" applyBorder="1"/>
    <xf numFmtId="3" fontId="9" fillId="0" borderId="31" xfId="0" applyNumberFormat="1" applyFont="1" applyBorder="1"/>
    <xf numFmtId="3" fontId="9" fillId="0" borderId="12" xfId="0" applyNumberFormat="1" applyFont="1" applyBorder="1"/>
    <xf numFmtId="3" fontId="9" fillId="0" borderId="22" xfId="0" applyNumberFormat="1" applyFont="1" applyBorder="1"/>
    <xf numFmtId="3" fontId="9" fillId="0" borderId="7" xfId="0" applyNumberFormat="1" applyFont="1" applyBorder="1"/>
    <xf numFmtId="0" fontId="9" fillId="0" borderId="0" xfId="0" applyFont="1" applyBorder="1"/>
    <xf numFmtId="3" fontId="9" fillId="0" borderId="17" xfId="0" applyNumberFormat="1" applyFont="1" applyBorder="1" applyAlignment="1">
      <alignment wrapText="1"/>
    </xf>
    <xf numFmtId="164" fontId="9" fillId="0" borderId="5" xfId="0" applyNumberFormat="1" applyFont="1" applyBorder="1" applyAlignment="1">
      <alignment horizontal="right" wrapText="1"/>
    </xf>
    <xf numFmtId="3" fontId="9" fillId="0" borderId="5" xfId="0" applyNumberFormat="1" applyFont="1" applyBorder="1" applyAlignment="1">
      <alignment wrapText="1"/>
    </xf>
    <xf numFmtId="164" fontId="9" fillId="0" borderId="29" xfId="0" applyNumberFormat="1" applyFont="1" applyBorder="1" applyAlignment="1">
      <alignment horizontal="right" wrapText="1"/>
    </xf>
    <xf numFmtId="3" fontId="5" fillId="0" borderId="29" xfId="0" applyNumberFormat="1" applyFont="1" applyBorder="1" applyAlignment="1">
      <alignment wrapText="1"/>
    </xf>
    <xf numFmtId="3" fontId="9" fillId="0" borderId="3" xfId="0" applyNumberFormat="1" applyFont="1" applyBorder="1" applyAlignment="1">
      <alignment horizontal="right" wrapText="1"/>
    </xf>
    <xf numFmtId="3" fontId="9" fillId="0" borderId="30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wrapText="1"/>
    </xf>
    <xf numFmtId="3" fontId="9" fillId="0" borderId="2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wrapText="1"/>
    </xf>
    <xf numFmtId="3" fontId="9" fillId="0" borderId="21" xfId="0" applyNumberFormat="1" applyFont="1" applyBorder="1" applyAlignment="1">
      <alignment wrapText="1"/>
    </xf>
    <xf numFmtId="3" fontId="9" fillId="0" borderId="9" xfId="0" applyNumberFormat="1" applyFont="1" applyBorder="1" applyAlignment="1">
      <alignment wrapText="1"/>
    </xf>
    <xf numFmtId="3" fontId="9" fillId="0" borderId="8" xfId="0" applyNumberFormat="1" applyFont="1" applyBorder="1" applyAlignment="1">
      <alignment horizontal="right" wrapText="1"/>
    </xf>
    <xf numFmtId="3" fontId="9" fillId="0" borderId="14" xfId="0" applyNumberFormat="1" applyFont="1" applyBorder="1" applyAlignment="1">
      <alignment wrapText="1"/>
    </xf>
    <xf numFmtId="3" fontId="9" fillId="0" borderId="13" xfId="0" applyNumberFormat="1" applyFont="1" applyBorder="1" applyAlignment="1">
      <alignment wrapText="1"/>
    </xf>
    <xf numFmtId="3" fontId="5" fillId="0" borderId="32" xfId="0" applyNumberFormat="1" applyFont="1" applyBorder="1" applyAlignment="1">
      <alignment wrapText="1"/>
    </xf>
    <xf numFmtId="3" fontId="9" fillId="0" borderId="25" xfId="0" applyNumberFormat="1" applyFont="1" applyBorder="1" applyAlignment="1">
      <alignment wrapText="1"/>
    </xf>
    <xf numFmtId="3" fontId="5" fillId="0" borderId="28" xfId="0" applyNumberFormat="1" applyFont="1" applyBorder="1" applyAlignment="1">
      <alignment wrapText="1"/>
    </xf>
    <xf numFmtId="3" fontId="5" fillId="0" borderId="29" xfId="0" applyNumberFormat="1" applyFont="1" applyBorder="1"/>
    <xf numFmtId="3" fontId="9" fillId="0" borderId="0" xfId="0" applyNumberFormat="1" applyFont="1"/>
    <xf numFmtId="3" fontId="5" fillId="0" borderId="32" xfId="0" applyNumberFormat="1" applyFont="1" applyBorder="1"/>
    <xf numFmtId="3" fontId="9" fillId="0" borderId="25" xfId="0" applyNumberFormat="1" applyFont="1" applyBorder="1"/>
    <xf numFmtId="3" fontId="9" fillId="0" borderId="14" xfId="0" applyNumberFormat="1" applyFont="1" applyBorder="1"/>
    <xf numFmtId="3" fontId="9" fillId="0" borderId="26" xfId="0" applyNumberFormat="1" applyFont="1" applyBorder="1" applyAlignment="1">
      <alignment wrapText="1"/>
    </xf>
    <xf numFmtId="3" fontId="9" fillId="0" borderId="15" xfId="0" applyNumberFormat="1" applyFont="1" applyBorder="1" applyAlignment="1">
      <alignment wrapText="1"/>
    </xf>
    <xf numFmtId="3" fontId="5" fillId="0" borderId="27" xfId="0" applyNumberFormat="1" applyFont="1" applyBorder="1" applyAlignment="1">
      <alignment wrapText="1"/>
    </xf>
    <xf numFmtId="3" fontId="9" fillId="0" borderId="35" xfId="0" applyNumberFormat="1" applyFont="1" applyBorder="1" applyAlignment="1">
      <alignment wrapText="1"/>
    </xf>
    <xf numFmtId="3" fontId="9" fillId="0" borderId="16" xfId="0" applyNumberFormat="1" applyFont="1" applyBorder="1" applyAlignment="1">
      <alignment wrapText="1"/>
    </xf>
    <xf numFmtId="3" fontId="9" fillId="0" borderId="40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47" xfId="0" applyBorder="1" applyAlignment="1"/>
    <xf numFmtId="0" fontId="4" fillId="0" borderId="51" xfId="0" applyFont="1" applyBorder="1" applyAlignment="1"/>
    <xf numFmtId="0" fontId="1" fillId="0" borderId="51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5" fillId="0" borderId="17" xfId="0" applyFont="1" applyBorder="1" applyAlignment="1"/>
    <xf numFmtId="3" fontId="5" fillId="0" borderId="5" xfId="0" applyNumberFormat="1" applyFont="1" applyBorder="1"/>
    <xf numFmtId="3" fontId="5" fillId="0" borderId="5" xfId="0" applyNumberFormat="1" applyFont="1" applyBorder="1" applyAlignment="1">
      <alignment wrapText="1"/>
    </xf>
    <xf numFmtId="3" fontId="9" fillId="0" borderId="41" xfId="0" applyNumberFormat="1" applyFont="1" applyBorder="1"/>
    <xf numFmtId="0" fontId="9" fillId="0" borderId="19" xfId="0" applyFont="1" applyBorder="1" applyAlignment="1">
      <alignment wrapText="1"/>
    </xf>
    <xf numFmtId="0" fontId="9" fillId="0" borderId="23" xfId="0" applyFont="1" applyBorder="1" applyAlignment="1">
      <alignment wrapText="1"/>
    </xf>
    <xf numFmtId="3" fontId="9" fillId="0" borderId="19" xfId="0" applyNumberFormat="1" applyFont="1" applyBorder="1" applyAlignment="1">
      <alignment wrapText="1"/>
    </xf>
    <xf numFmtId="3" fontId="9" fillId="0" borderId="23" xfId="0" applyNumberFormat="1" applyFont="1" applyBorder="1" applyAlignment="1">
      <alignment wrapText="1"/>
    </xf>
    <xf numFmtId="3" fontId="5" fillId="0" borderId="17" xfId="0" applyNumberFormat="1" applyFont="1" applyBorder="1" applyAlignment="1">
      <alignment wrapText="1"/>
    </xf>
    <xf numFmtId="0" fontId="9" fillId="0" borderId="17" xfId="0" applyFont="1" applyBorder="1" applyAlignment="1">
      <alignment wrapText="1"/>
    </xf>
    <xf numFmtId="1" fontId="9" fillId="0" borderId="6" xfId="0" applyNumberFormat="1" applyFont="1" applyBorder="1" applyAlignment="1">
      <alignment wrapText="1"/>
    </xf>
    <xf numFmtId="1" fontId="5" fillId="0" borderId="6" xfId="0" applyNumberFormat="1" applyFont="1" applyBorder="1" applyAlignment="1">
      <alignment wrapText="1"/>
    </xf>
    <xf numFmtId="3" fontId="9" fillId="0" borderId="53" xfId="0" applyNumberFormat="1" applyFont="1" applyBorder="1"/>
    <xf numFmtId="1" fontId="5" fillId="0" borderId="30" xfId="0" applyNumberFormat="1" applyFont="1" applyBorder="1" applyAlignment="1">
      <alignment wrapText="1"/>
    </xf>
    <xf numFmtId="10" fontId="9" fillId="0" borderId="29" xfId="0" applyNumberFormat="1" applyFont="1" applyBorder="1" applyAlignment="1">
      <alignment wrapText="1"/>
    </xf>
    <xf numFmtId="3" fontId="9" fillId="0" borderId="29" xfId="0" applyNumberFormat="1" applyFont="1" applyBorder="1" applyAlignment="1">
      <alignment wrapText="1"/>
    </xf>
    <xf numFmtId="3" fontId="9" fillId="0" borderId="32" xfId="0" applyNumberFormat="1" applyFont="1" applyBorder="1" applyAlignment="1">
      <alignment wrapText="1"/>
    </xf>
    <xf numFmtId="3" fontId="9" fillId="0" borderId="27" xfId="0" applyNumberFormat="1" applyFont="1" applyBorder="1" applyAlignment="1">
      <alignment wrapText="1"/>
    </xf>
    <xf numFmtId="3" fontId="9" fillId="0" borderId="32" xfId="0" applyNumberFormat="1" applyFont="1" applyBorder="1"/>
    <xf numFmtId="3" fontId="9" fillId="0" borderId="54" xfId="0" applyNumberFormat="1" applyFont="1" applyBorder="1"/>
    <xf numFmtId="3" fontId="9" fillId="0" borderId="6" xfId="0" applyNumberFormat="1" applyFont="1" applyBorder="1" applyAlignment="1">
      <alignment horizontal="center"/>
    </xf>
    <xf numFmtId="3" fontId="5" fillId="0" borderId="6" xfId="0" applyNumberFormat="1" applyFont="1" applyBorder="1"/>
    <xf numFmtId="3" fontId="9" fillId="0" borderId="24" xfId="0" applyNumberFormat="1" applyFont="1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33" xfId="0" applyBorder="1" applyAlignment="1"/>
    <xf numFmtId="3" fontId="5" fillId="0" borderId="19" xfId="0" applyNumberFormat="1" applyFont="1" applyBorder="1" applyAlignment="1">
      <alignment wrapText="1"/>
    </xf>
    <xf numFmtId="0" fontId="5" fillId="0" borderId="32" xfId="0" applyFont="1" applyBorder="1" applyAlignment="1">
      <alignment wrapText="1"/>
    </xf>
    <xf numFmtId="0" fontId="5" fillId="0" borderId="33" xfId="0" applyFont="1" applyBorder="1" applyAlignment="1">
      <alignment wrapText="1"/>
    </xf>
    <xf numFmtId="3" fontId="5" fillId="0" borderId="28" xfId="0" applyNumberFormat="1" applyFont="1" applyBorder="1"/>
    <xf numFmtId="3" fontId="9" fillId="0" borderId="51" xfId="0" applyNumberFormat="1" applyFont="1" applyBorder="1" applyAlignment="1">
      <alignment wrapText="1"/>
    </xf>
    <xf numFmtId="3" fontId="9" fillId="0" borderId="44" xfId="0" applyNumberFormat="1" applyFont="1" applyBorder="1"/>
    <xf numFmtId="3" fontId="5" fillId="0" borderId="0" xfId="0" applyNumberFormat="1" applyFont="1" applyBorder="1"/>
    <xf numFmtId="0" fontId="2" fillId="0" borderId="0" xfId="0" applyFont="1"/>
    <xf numFmtId="3" fontId="9" fillId="0" borderId="8" xfId="0" applyNumberFormat="1" applyFont="1" applyBorder="1" applyAlignment="1">
      <alignment horizontal="center" wrapText="1"/>
    </xf>
    <xf numFmtId="3" fontId="5" fillId="0" borderId="0" xfId="0" applyNumberFormat="1" applyFont="1"/>
    <xf numFmtId="0" fontId="11" fillId="0" borderId="0" xfId="0" applyFont="1" applyAlignment="1"/>
    <xf numFmtId="0" fontId="12" fillId="0" borderId="46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center" wrapText="1"/>
    </xf>
    <xf numFmtId="17" fontId="6" fillId="0" borderId="44" xfId="0" applyNumberFormat="1" applyFont="1" applyBorder="1" applyAlignment="1">
      <alignment horizontal="center" wrapText="1"/>
    </xf>
    <xf numFmtId="17" fontId="6" fillId="0" borderId="52" xfId="0" applyNumberFormat="1" applyFont="1" applyBorder="1" applyAlignment="1">
      <alignment horizontal="center" wrapText="1"/>
    </xf>
    <xf numFmtId="17" fontId="6" fillId="0" borderId="45" xfId="0" applyNumberFormat="1" applyFont="1" applyBorder="1" applyAlignment="1">
      <alignment horizontal="center" wrapText="1"/>
    </xf>
    <xf numFmtId="3" fontId="5" fillId="0" borderId="55" xfId="0" applyNumberFormat="1" applyFont="1" applyBorder="1"/>
    <xf numFmtId="3" fontId="9" fillId="0" borderId="45" xfId="0" applyNumberFormat="1" applyFont="1" applyBorder="1"/>
    <xf numFmtId="0" fontId="9" fillId="0" borderId="36" xfId="0" applyFont="1" applyBorder="1"/>
    <xf numFmtId="3" fontId="9" fillId="0" borderId="49" xfId="0" applyNumberFormat="1" applyFont="1" applyBorder="1"/>
    <xf numFmtId="3" fontId="9" fillId="0" borderId="9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wrapText="1"/>
    </xf>
    <xf numFmtId="3" fontId="5" fillId="0" borderId="57" xfId="0" applyNumberFormat="1" applyFont="1" applyBorder="1"/>
    <xf numFmtId="3" fontId="9" fillId="0" borderId="52" xfId="0" applyNumberFormat="1" applyFont="1" applyBorder="1"/>
    <xf numFmtId="3" fontId="9" fillId="0" borderId="37" xfId="0" applyNumberFormat="1" applyFont="1" applyBorder="1" applyAlignment="1">
      <alignment horizontal="center"/>
    </xf>
    <xf numFmtId="3" fontId="9" fillId="0" borderId="36" xfId="0" applyNumberFormat="1" applyFont="1" applyBorder="1" applyAlignment="1">
      <alignment horizontal="center" wrapText="1"/>
    </xf>
    <xf numFmtId="3" fontId="9" fillId="0" borderId="37" xfId="0" applyNumberFormat="1" applyFont="1" applyBorder="1" applyAlignment="1">
      <alignment horizontal="right" wrapText="1"/>
    </xf>
    <xf numFmtId="17" fontId="6" fillId="0" borderId="56" xfId="0" applyNumberFormat="1" applyFont="1" applyBorder="1" applyAlignment="1">
      <alignment horizontal="center" wrapText="1"/>
    </xf>
    <xf numFmtId="3" fontId="9" fillId="0" borderId="58" xfId="0" applyNumberFormat="1" applyFont="1" applyBorder="1"/>
    <xf numFmtId="3" fontId="9" fillId="0" borderId="22" xfId="0" applyNumberFormat="1" applyFont="1" applyBorder="1" applyAlignment="1">
      <alignment horizontal="center" wrapText="1"/>
    </xf>
    <xf numFmtId="3" fontId="9" fillId="0" borderId="58" xfId="0" applyNumberFormat="1" applyFont="1" applyBorder="1" applyAlignment="1">
      <alignment wrapText="1"/>
    </xf>
    <xf numFmtId="3" fontId="5" fillId="0" borderId="25" xfId="0" applyNumberFormat="1" applyFont="1" applyBorder="1"/>
    <xf numFmtId="3" fontId="9" fillId="0" borderId="56" xfId="0" applyNumberFormat="1" applyFont="1" applyBorder="1"/>
    <xf numFmtId="3" fontId="9" fillId="0" borderId="8" xfId="0" applyNumberFormat="1" applyFont="1" applyBorder="1" applyAlignment="1">
      <alignment horizontal="center"/>
    </xf>
    <xf numFmtId="3" fontId="9" fillId="0" borderId="21" xfId="0" applyNumberFormat="1" applyFont="1" applyBorder="1" applyAlignment="1">
      <alignment horizontal="center" wrapText="1"/>
    </xf>
    <xf numFmtId="3" fontId="5" fillId="0" borderId="24" xfId="0" applyNumberFormat="1" applyFont="1" applyBorder="1" applyAlignment="1">
      <alignment wrapText="1"/>
    </xf>
    <xf numFmtId="3" fontId="9" fillId="0" borderId="24" xfId="0" applyNumberFormat="1" applyFont="1" applyBorder="1"/>
    <xf numFmtId="0" fontId="9" fillId="0" borderId="21" xfId="0" applyFont="1" applyBorder="1"/>
    <xf numFmtId="3" fontId="9" fillId="0" borderId="3" xfId="0" applyNumberFormat="1" applyFont="1" applyBorder="1" applyAlignment="1">
      <alignment horizontal="center"/>
    </xf>
    <xf numFmtId="3" fontId="9" fillId="0" borderId="3" xfId="0" applyNumberFormat="1" applyFont="1" applyBorder="1"/>
    <xf numFmtId="0" fontId="9" fillId="0" borderId="11" xfId="0" applyFont="1" applyBorder="1"/>
    <xf numFmtId="3" fontId="9" fillId="0" borderId="15" xfId="0" applyNumberFormat="1" applyFont="1" applyBorder="1"/>
    <xf numFmtId="0" fontId="9" fillId="0" borderId="17" xfId="0" applyFont="1" applyBorder="1"/>
    <xf numFmtId="0" fontId="5" fillId="0" borderId="17" xfId="0" applyFont="1" applyBorder="1"/>
    <xf numFmtId="3" fontId="9" fillId="0" borderId="1" xfId="0" applyNumberFormat="1" applyFont="1" applyBorder="1" applyAlignment="1">
      <alignment horizontal="right" wrapText="1"/>
    </xf>
    <xf numFmtId="3" fontId="5" fillId="0" borderId="12" xfId="0" applyNumberFormat="1" applyFont="1" applyBorder="1" applyAlignment="1">
      <alignment wrapText="1"/>
    </xf>
    <xf numFmtId="3" fontId="5" fillId="0" borderId="8" xfId="0" applyNumberFormat="1" applyFont="1" applyBorder="1" applyAlignment="1">
      <alignment wrapText="1"/>
    </xf>
    <xf numFmtId="3" fontId="9" fillId="0" borderId="17" xfId="0" applyNumberFormat="1" applyFont="1" applyBorder="1"/>
    <xf numFmtId="3" fontId="5" fillId="0" borderId="22" xfId="0" applyNumberFormat="1" applyFont="1" applyBorder="1" applyAlignment="1">
      <alignment wrapText="1"/>
    </xf>
    <xf numFmtId="3" fontId="9" fillId="0" borderId="7" xfId="0" applyNumberFormat="1" applyFont="1" applyBorder="1" applyAlignment="1">
      <alignment wrapText="1"/>
    </xf>
    <xf numFmtId="3" fontId="9" fillId="0" borderId="22" xfId="0" applyNumberFormat="1" applyFont="1" applyBorder="1" applyAlignment="1">
      <alignment horizontal="center"/>
    </xf>
    <xf numFmtId="3" fontId="9" fillId="0" borderId="36" xfId="0" applyNumberFormat="1" applyFont="1" applyBorder="1" applyAlignment="1">
      <alignment wrapText="1"/>
    </xf>
    <xf numFmtId="3" fontId="9" fillId="0" borderId="19" xfId="0" applyNumberFormat="1" applyFont="1" applyBorder="1" applyAlignment="1">
      <alignment horizontal="right" wrapText="1"/>
    </xf>
    <xf numFmtId="3" fontId="9" fillId="0" borderId="21" xfId="0" applyNumberFormat="1" applyFont="1" applyBorder="1" applyAlignment="1">
      <alignment horizontal="right" wrapText="1"/>
    </xf>
    <xf numFmtId="3" fontId="5" fillId="0" borderId="21" xfId="0" applyNumberFormat="1" applyFont="1" applyBorder="1" applyAlignment="1">
      <alignment horizontal="right" wrapText="1"/>
    </xf>
    <xf numFmtId="3" fontId="9" fillId="0" borderId="59" xfId="0" applyNumberFormat="1" applyFont="1" applyBorder="1" applyAlignment="1">
      <alignment wrapText="1"/>
    </xf>
    <xf numFmtId="3" fontId="9" fillId="0" borderId="38" xfId="0" applyNumberFormat="1" applyFont="1" applyBorder="1"/>
    <xf numFmtId="3" fontId="9" fillId="0" borderId="60" xfId="0" applyNumberFormat="1" applyFont="1" applyBorder="1"/>
    <xf numFmtId="3" fontId="9" fillId="0" borderId="41" xfId="0" applyNumberFormat="1" applyFont="1" applyBorder="1" applyAlignment="1">
      <alignment wrapText="1"/>
    </xf>
    <xf numFmtId="3" fontId="9" fillId="0" borderId="55" xfId="0" applyNumberFormat="1" applyFont="1" applyBorder="1" applyAlignment="1">
      <alignment wrapText="1"/>
    </xf>
    <xf numFmtId="3" fontId="9" fillId="0" borderId="4" xfId="0" applyNumberFormat="1" applyFont="1" applyBorder="1" applyAlignment="1">
      <alignment wrapText="1"/>
    </xf>
    <xf numFmtId="3" fontId="9" fillId="0" borderId="61" xfId="0" applyNumberFormat="1" applyFont="1" applyBorder="1" applyAlignment="1">
      <alignment wrapText="1"/>
    </xf>
    <xf numFmtId="3" fontId="9" fillId="0" borderId="62" xfId="0" applyNumberFormat="1" applyFont="1" applyBorder="1" applyAlignment="1">
      <alignment wrapText="1"/>
    </xf>
    <xf numFmtId="3" fontId="9" fillId="0" borderId="63" xfId="0" applyNumberFormat="1" applyFont="1" applyBorder="1" applyAlignment="1">
      <alignment wrapText="1"/>
    </xf>
    <xf numFmtId="3" fontId="9" fillId="0" borderId="56" xfId="0" applyNumberFormat="1" applyFont="1" applyBorder="1" applyAlignment="1">
      <alignment wrapText="1"/>
    </xf>
    <xf numFmtId="3" fontId="9" fillId="0" borderId="64" xfId="0" applyNumberFormat="1" applyFont="1" applyBorder="1" applyAlignment="1">
      <alignment wrapText="1"/>
    </xf>
    <xf numFmtId="3" fontId="9" fillId="0" borderId="65" xfId="0" applyNumberFormat="1" applyFont="1" applyBorder="1" applyAlignment="1">
      <alignment wrapText="1"/>
    </xf>
    <xf numFmtId="3" fontId="9" fillId="0" borderId="45" xfId="0" applyNumberFormat="1" applyFont="1" applyBorder="1" applyAlignment="1">
      <alignment wrapText="1"/>
    </xf>
    <xf numFmtId="3" fontId="5" fillId="0" borderId="44" xfId="0" applyNumberFormat="1" applyFont="1" applyBorder="1" applyAlignment="1">
      <alignment wrapText="1"/>
    </xf>
    <xf numFmtId="3" fontId="5" fillId="0" borderId="51" xfId="0" applyNumberFormat="1" applyFont="1" applyBorder="1" applyAlignment="1">
      <alignment wrapText="1"/>
    </xf>
    <xf numFmtId="3" fontId="9" fillId="0" borderId="18" xfId="0" applyNumberFormat="1" applyFont="1" applyBorder="1"/>
    <xf numFmtId="3" fontId="9" fillId="0" borderId="28" xfId="0" applyNumberFormat="1" applyFont="1" applyBorder="1" applyAlignment="1">
      <alignment horizontal="right" wrapText="1"/>
    </xf>
    <xf numFmtId="0" fontId="9" fillId="0" borderId="23" xfId="0" applyFont="1" applyBorder="1"/>
    <xf numFmtId="3" fontId="9" fillId="0" borderId="63" xfId="0" applyNumberFormat="1" applyFont="1" applyBorder="1"/>
    <xf numFmtId="3" fontId="9" fillId="0" borderId="62" xfId="0" applyNumberFormat="1" applyFont="1" applyBorder="1"/>
    <xf numFmtId="3" fontId="9" fillId="0" borderId="47" xfId="0" applyNumberFormat="1" applyFont="1" applyBorder="1" applyAlignment="1">
      <alignment wrapText="1"/>
    </xf>
    <xf numFmtId="164" fontId="9" fillId="0" borderId="7" xfId="0" applyNumberFormat="1" applyFont="1" applyBorder="1" applyAlignment="1">
      <alignment horizontal="right" wrapText="1"/>
    </xf>
    <xf numFmtId="3" fontId="9" fillId="0" borderId="27" xfId="0" applyNumberFormat="1" applyFont="1" applyBorder="1" applyAlignment="1">
      <alignment horizontal="right" wrapText="1"/>
    </xf>
    <xf numFmtId="3" fontId="9" fillId="0" borderId="66" xfId="0" applyNumberFormat="1" applyFont="1" applyBorder="1" applyAlignment="1">
      <alignment wrapText="1"/>
    </xf>
    <xf numFmtId="3" fontId="9" fillId="0" borderId="50" xfId="0" applyNumberFormat="1" applyFont="1" applyBorder="1"/>
    <xf numFmtId="3" fontId="9" fillId="0" borderId="18" xfId="0" applyNumberFormat="1" applyFont="1" applyBorder="1" applyAlignment="1">
      <alignment horizontal="center" wrapText="1"/>
    </xf>
    <xf numFmtId="3" fontId="5" fillId="0" borderId="20" xfId="0" applyNumberFormat="1" applyFont="1" applyBorder="1" applyAlignment="1">
      <alignment wrapText="1"/>
    </xf>
    <xf numFmtId="3" fontId="9" fillId="0" borderId="29" xfId="0" applyNumberFormat="1" applyFont="1" applyBorder="1" applyAlignment="1">
      <alignment horizontal="center" wrapText="1"/>
    </xf>
    <xf numFmtId="1" fontId="9" fillId="0" borderId="21" xfId="0" applyNumberFormat="1" applyFont="1" applyBorder="1"/>
    <xf numFmtId="3" fontId="5" fillId="0" borderId="7" xfId="0" applyNumberFormat="1" applyFont="1" applyBorder="1" applyAlignment="1">
      <alignment wrapText="1"/>
    </xf>
    <xf numFmtId="3" fontId="5" fillId="0" borderId="9" xfId="0" applyNumberFormat="1" applyFont="1" applyBorder="1" applyAlignment="1">
      <alignment wrapText="1"/>
    </xf>
    <xf numFmtId="3" fontId="5" fillId="0" borderId="9" xfId="0" applyNumberFormat="1" applyFont="1" applyBorder="1"/>
    <xf numFmtId="3" fontId="5" fillId="0" borderId="14" xfId="0" applyNumberFormat="1" applyFont="1" applyBorder="1"/>
    <xf numFmtId="3" fontId="9" fillId="0" borderId="67" xfId="0" applyNumberFormat="1" applyFont="1" applyBorder="1" applyAlignment="1">
      <alignment wrapText="1"/>
    </xf>
    <xf numFmtId="3" fontId="5" fillId="0" borderId="24" xfId="0" applyNumberFormat="1" applyFont="1" applyBorder="1"/>
    <xf numFmtId="3" fontId="14" fillId="0" borderId="0" xfId="0" applyNumberFormat="1" applyFont="1"/>
    <xf numFmtId="3" fontId="9" fillId="0" borderId="44" xfId="0" applyNumberFormat="1" applyFont="1" applyBorder="1" applyAlignment="1">
      <alignment wrapText="1"/>
    </xf>
    <xf numFmtId="0" fontId="12" fillId="0" borderId="46" xfId="0" applyFont="1" applyBorder="1" applyAlignment="1">
      <alignment horizontal="center" vertical="top"/>
    </xf>
    <xf numFmtId="0" fontId="13" fillId="0" borderId="47" xfId="0" applyFont="1" applyBorder="1" applyAlignment="1">
      <alignment horizontal="center" vertical="top"/>
    </xf>
    <xf numFmtId="0" fontId="13" fillId="0" borderId="50" xfId="0" applyFont="1" applyBorder="1" applyAlignment="1">
      <alignment horizontal="center" vertical="top"/>
    </xf>
    <xf numFmtId="0" fontId="13" fillId="0" borderId="33" xfId="0" applyFont="1" applyBorder="1" applyAlignment="1">
      <alignment horizontal="center" vertical="top"/>
    </xf>
    <xf numFmtId="0" fontId="13" fillId="0" borderId="39" xfId="0" applyFont="1" applyBorder="1" applyAlignment="1">
      <alignment horizontal="center" vertical="top"/>
    </xf>
    <xf numFmtId="0" fontId="13" fillId="0" borderId="43" xfId="0" applyFont="1" applyBorder="1" applyAlignment="1">
      <alignment horizontal="center" vertical="top"/>
    </xf>
    <xf numFmtId="0" fontId="12" fillId="0" borderId="49" xfId="0" applyFont="1" applyBorder="1" applyAlignment="1">
      <alignment horizontal="center" vertical="top"/>
    </xf>
    <xf numFmtId="0" fontId="13" fillId="0" borderId="34" xfId="0" applyFont="1" applyBorder="1" applyAlignment="1">
      <alignment horizontal="center" vertical="top"/>
    </xf>
    <xf numFmtId="17" fontId="12" fillId="0" borderId="48" xfId="0" applyNumberFormat="1" applyFont="1" applyBorder="1" applyAlignment="1">
      <alignment horizontal="center" vertical="top"/>
    </xf>
    <xf numFmtId="0" fontId="13" fillId="0" borderId="42" xfId="0" applyFont="1" applyBorder="1" applyAlignment="1">
      <alignment horizontal="center" vertical="top"/>
    </xf>
    <xf numFmtId="3" fontId="9" fillId="0" borderId="47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130"/>
  <sheetViews>
    <sheetView showGridLines="0" tabSelected="1" topLeftCell="A57" zoomScale="90" zoomScaleNormal="90" workbookViewId="0">
      <pane xSplit="1" topLeftCell="J1" activePane="topRight" state="frozen"/>
      <selection activeCell="A54" sqref="A54"/>
      <selection pane="topRight" activeCell="V107" sqref="V107"/>
    </sheetView>
  </sheetViews>
  <sheetFormatPr defaultRowHeight="10.199999999999999" x14ac:dyDescent="0.2"/>
  <cols>
    <col min="1" max="1" width="41.28515625" style="1" customWidth="1"/>
    <col min="2" max="11" width="11.42578125" customWidth="1"/>
    <col min="12" max="12" width="12" customWidth="1"/>
    <col min="13" max="14" width="11.42578125" customWidth="1"/>
    <col min="15" max="15" width="13" customWidth="1"/>
    <col min="16" max="16" width="12.7109375" bestFit="1" customWidth="1"/>
    <col min="17" max="17" width="13.28515625" customWidth="1"/>
    <col min="18" max="19" width="12.7109375" bestFit="1" customWidth="1"/>
    <col min="20" max="22" width="12.7109375" customWidth="1"/>
    <col min="23" max="23" width="15.140625" customWidth="1"/>
    <col min="24" max="24" width="14.85546875" customWidth="1"/>
    <col min="25" max="25" width="12.7109375" customWidth="1"/>
    <col min="26" max="26" width="13.28515625" bestFit="1" customWidth="1"/>
  </cols>
  <sheetData>
    <row r="1" spans="1:34" s="29" customFormat="1" ht="22.2" customHeight="1" x14ac:dyDescent="0.4">
      <c r="A1" s="148" t="s">
        <v>73</v>
      </c>
      <c r="F1" s="148" t="s">
        <v>66</v>
      </c>
    </row>
    <row r="2" spans="1:34" s="2" customFormat="1" ht="16.8" customHeight="1" x14ac:dyDescent="0.25">
      <c r="A2" s="3" t="s">
        <v>19</v>
      </c>
    </row>
    <row r="3" spans="1:34" s="2" customFormat="1" ht="1.8" customHeight="1" thickBot="1" x14ac:dyDescent="0.3">
      <c r="A3" s="3"/>
    </row>
    <row r="4" spans="1:34" s="2" customFormat="1" ht="12" customHeight="1" x14ac:dyDescent="0.2">
      <c r="A4" s="149" t="s">
        <v>16</v>
      </c>
      <c r="B4" s="107"/>
      <c r="C4" s="238">
        <v>39448</v>
      </c>
      <c r="D4" s="236" t="s">
        <v>30</v>
      </c>
      <c r="E4" s="231"/>
      <c r="F4" s="231"/>
      <c r="G4" s="231"/>
      <c r="H4" s="231"/>
      <c r="I4" s="231"/>
      <c r="J4" s="231"/>
      <c r="K4" s="232"/>
      <c r="L4" s="230" t="s">
        <v>61</v>
      </c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2"/>
      <c r="X4" s="136"/>
      <c r="Y4" s="5"/>
    </row>
    <row r="5" spans="1:34" s="2" customFormat="1" ht="4.8" customHeight="1" thickBot="1" x14ac:dyDescent="0.3">
      <c r="A5" s="108"/>
      <c r="B5" s="5"/>
      <c r="C5" s="239"/>
      <c r="D5" s="237"/>
      <c r="E5" s="234"/>
      <c r="F5" s="234"/>
      <c r="G5" s="234"/>
      <c r="H5" s="234"/>
      <c r="I5" s="234"/>
      <c r="J5" s="234"/>
      <c r="K5" s="235"/>
      <c r="L5" s="233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5"/>
      <c r="X5" s="137"/>
      <c r="Y5" s="5"/>
    </row>
    <row r="6" spans="1:34" s="15" customFormat="1" ht="27" customHeight="1" thickBot="1" x14ac:dyDescent="0.3">
      <c r="A6" s="109"/>
      <c r="B6" s="150" t="s">
        <v>31</v>
      </c>
      <c r="C6" s="151" t="s">
        <v>20</v>
      </c>
      <c r="D6" s="151" t="s">
        <v>21</v>
      </c>
      <c r="E6" s="151" t="s">
        <v>22</v>
      </c>
      <c r="F6" s="151" t="s">
        <v>23</v>
      </c>
      <c r="G6" s="152" t="s">
        <v>24</v>
      </c>
      <c r="H6" s="151" t="s">
        <v>25</v>
      </c>
      <c r="I6" s="153" t="s">
        <v>111</v>
      </c>
      <c r="J6" s="153" t="s">
        <v>112</v>
      </c>
      <c r="K6" s="151" t="s">
        <v>64</v>
      </c>
      <c r="L6" s="153" t="s">
        <v>26</v>
      </c>
      <c r="M6" s="151" t="s">
        <v>27</v>
      </c>
      <c r="N6" s="152" t="s">
        <v>28</v>
      </c>
      <c r="O6" s="165" t="s">
        <v>29</v>
      </c>
      <c r="P6" s="153" t="s">
        <v>68</v>
      </c>
      <c r="Q6" s="151" t="s">
        <v>81</v>
      </c>
      <c r="R6" s="151" t="s">
        <v>83</v>
      </c>
      <c r="S6" s="151" t="s">
        <v>84</v>
      </c>
      <c r="T6" s="151" t="s">
        <v>109</v>
      </c>
      <c r="U6" s="153" t="s">
        <v>85</v>
      </c>
      <c r="V6" s="151" t="s">
        <v>86</v>
      </c>
      <c r="W6" s="151" t="s">
        <v>87</v>
      </c>
      <c r="X6" s="151" t="s">
        <v>82</v>
      </c>
    </row>
    <row r="7" spans="1:34" s="35" customFormat="1" ht="25.2" customHeight="1" x14ac:dyDescent="0.25">
      <c r="A7" s="112" t="s">
        <v>74</v>
      </c>
      <c r="B7" s="125">
        <v>0</v>
      </c>
      <c r="C7" s="32">
        <f t="shared" ref="C7:H7" si="0">+B85</f>
        <v>121360</v>
      </c>
      <c r="D7" s="30">
        <f t="shared" si="0"/>
        <v>123090</v>
      </c>
      <c r="E7" s="30">
        <f t="shared" si="0"/>
        <v>100580</v>
      </c>
      <c r="F7" s="30">
        <f t="shared" si="0"/>
        <v>85510</v>
      </c>
      <c r="G7" s="30">
        <f t="shared" si="0"/>
        <v>67940</v>
      </c>
      <c r="H7" s="30">
        <f t="shared" si="0"/>
        <v>34770</v>
      </c>
      <c r="I7" s="32">
        <f>+G85</f>
        <v>34770</v>
      </c>
      <c r="J7" s="33"/>
      <c r="K7" s="31"/>
      <c r="L7" s="179">
        <f>+I85</f>
        <v>39450</v>
      </c>
      <c r="M7" s="179">
        <f>+L85</f>
        <v>33783.333333333336</v>
      </c>
      <c r="N7" s="157">
        <f t="shared" ref="N7:R7" si="1">+M85</f>
        <v>101033.33333333334</v>
      </c>
      <c r="O7" s="166">
        <f t="shared" si="1"/>
        <v>89863.333333333372</v>
      </c>
      <c r="P7" s="32">
        <f t="shared" si="1"/>
        <v>251460</v>
      </c>
      <c r="Q7" s="30">
        <f t="shared" si="1"/>
        <v>270456.66666666663</v>
      </c>
      <c r="R7" s="157">
        <f t="shared" si="1"/>
        <v>857753.33333333326</v>
      </c>
      <c r="S7" s="132">
        <f t="shared" ref="S7" si="2">+R85</f>
        <v>1362266.6666666663</v>
      </c>
      <c r="T7" s="125"/>
      <c r="U7" s="217">
        <f>+S85</f>
        <v>967696.66666666605</v>
      </c>
      <c r="V7" s="132">
        <f t="shared" ref="V7" si="3">+U85</f>
        <v>1170459.9999999995</v>
      </c>
      <c r="W7" s="33">
        <f t="shared" ref="W7" si="4">+S85</f>
        <v>967696.66666666605</v>
      </c>
      <c r="X7" s="34"/>
    </row>
    <row r="8" spans="1:34" s="35" customFormat="1" ht="4.2" customHeight="1" x14ac:dyDescent="0.25">
      <c r="A8" s="110"/>
      <c r="B8" s="38"/>
      <c r="C8" s="36"/>
      <c r="D8" s="36"/>
      <c r="E8" s="36"/>
      <c r="F8" s="37"/>
      <c r="G8" s="37"/>
      <c r="H8" s="36"/>
      <c r="I8" s="36"/>
      <c r="J8" s="36"/>
      <c r="K8" s="38"/>
      <c r="L8" s="180"/>
      <c r="M8" s="36"/>
      <c r="N8" s="36"/>
      <c r="O8" s="49"/>
      <c r="P8" s="36"/>
      <c r="Q8" s="36"/>
      <c r="R8" s="67"/>
      <c r="S8" s="49"/>
      <c r="T8" s="38"/>
      <c r="U8" s="37"/>
      <c r="V8" s="39"/>
      <c r="W8" s="36"/>
      <c r="X8" s="38"/>
    </row>
    <row r="9" spans="1:34" s="35" customFormat="1" ht="14.4" customHeight="1" x14ac:dyDescent="0.25">
      <c r="A9" s="111" t="s">
        <v>80</v>
      </c>
      <c r="B9" s="31"/>
      <c r="C9" s="40"/>
      <c r="D9" s="40"/>
      <c r="E9" s="40"/>
      <c r="F9" s="40"/>
      <c r="G9" s="36"/>
      <c r="H9" s="40"/>
      <c r="I9" s="42"/>
      <c r="J9" s="42"/>
      <c r="K9" s="31"/>
      <c r="L9" s="185"/>
      <c r="M9" s="50"/>
      <c r="N9" s="158"/>
      <c r="O9" s="135"/>
      <c r="P9" s="162">
        <v>0</v>
      </c>
      <c r="Q9" s="42">
        <v>2</v>
      </c>
      <c r="R9" s="171">
        <v>2</v>
      </c>
      <c r="S9" s="135">
        <v>1</v>
      </c>
      <c r="T9" s="44"/>
      <c r="U9" s="133">
        <v>2</v>
      </c>
      <c r="V9" s="176">
        <v>1</v>
      </c>
      <c r="W9" s="42">
        <v>1</v>
      </c>
      <c r="X9" s="44">
        <f>SUM(N9:W9)</f>
        <v>9</v>
      </c>
      <c r="AA9" s="74"/>
      <c r="AB9" s="53"/>
      <c r="AC9" s="74"/>
    </row>
    <row r="10" spans="1:34" s="55" customFormat="1" ht="14.4" customHeight="1" x14ac:dyDescent="0.25">
      <c r="A10" s="117" t="s">
        <v>62</v>
      </c>
      <c r="B10" s="46">
        <v>0</v>
      </c>
      <c r="C10" s="123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7">
        <v>0</v>
      </c>
      <c r="J10" s="60"/>
      <c r="K10" s="46">
        <f>SUM(B10:I10)</f>
        <v>0</v>
      </c>
      <c r="L10" s="75"/>
      <c r="M10" s="50">
        <v>0</v>
      </c>
      <c r="N10" s="67">
        <v>0</v>
      </c>
      <c r="O10" s="87"/>
      <c r="P10" s="84"/>
      <c r="Q10" s="146" t="s">
        <v>100</v>
      </c>
      <c r="R10" s="146" t="s">
        <v>101</v>
      </c>
      <c r="S10" s="172" t="s">
        <v>102</v>
      </c>
      <c r="T10" s="220"/>
      <c r="U10" s="218" t="s">
        <v>103</v>
      </c>
      <c r="V10" s="48" t="s">
        <v>104</v>
      </c>
      <c r="W10" s="172" t="s">
        <v>105</v>
      </c>
      <c r="X10" s="52"/>
      <c r="Y10" s="53"/>
      <c r="Z10" s="54"/>
      <c r="AA10" s="53"/>
      <c r="AB10" s="53"/>
      <c r="AC10" s="53"/>
      <c r="AD10" s="54"/>
      <c r="AE10" s="53"/>
      <c r="AF10" s="54"/>
      <c r="AG10" s="53"/>
      <c r="AH10" s="54"/>
    </row>
    <row r="11" spans="1:34" s="55" customFormat="1" ht="14.4" customHeight="1" x14ac:dyDescent="0.25">
      <c r="A11" s="118" t="s">
        <v>67</v>
      </c>
      <c r="B11" s="46">
        <v>0</v>
      </c>
      <c r="C11" s="123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7">
        <v>0</v>
      </c>
      <c r="J11" s="60"/>
      <c r="K11" s="46">
        <f t="shared" ref="K11:K15" si="5">SUM(B11:I11)</f>
        <v>0</v>
      </c>
      <c r="L11" s="75"/>
      <c r="M11" s="50">
        <v>0</v>
      </c>
      <c r="N11" s="77">
        <v>0</v>
      </c>
      <c r="O11" s="43">
        <v>0</v>
      </c>
      <c r="P11" s="84">
        <v>0</v>
      </c>
      <c r="Q11" s="60">
        <f>520000+520000</f>
        <v>1040000</v>
      </c>
      <c r="R11" s="88">
        <f>520000+520000</f>
        <v>1040000</v>
      </c>
      <c r="S11" s="87">
        <f>385000</f>
        <v>385000</v>
      </c>
      <c r="T11" s="52"/>
      <c r="U11" s="84">
        <f>520000+520000</f>
        <v>1040000</v>
      </c>
      <c r="V11" s="48">
        <f>520000</f>
        <v>520000</v>
      </c>
      <c r="W11" s="57">
        <f>520000</f>
        <v>520000</v>
      </c>
      <c r="X11" s="52">
        <f>SUM(B11:W11)</f>
        <v>4545000</v>
      </c>
      <c r="Y11" s="53"/>
      <c r="Z11" s="54"/>
      <c r="AA11" s="53"/>
      <c r="AB11" s="54"/>
      <c r="AC11" s="53"/>
      <c r="AD11" s="54"/>
      <c r="AE11" s="53"/>
      <c r="AF11" s="54"/>
      <c r="AG11" s="53"/>
      <c r="AH11" s="54"/>
    </row>
    <row r="12" spans="1:34" s="55" customFormat="1" ht="14.4" customHeight="1" x14ac:dyDescent="0.25">
      <c r="A12" s="118" t="s">
        <v>107</v>
      </c>
      <c r="B12" s="46"/>
      <c r="C12" s="123"/>
      <c r="D12" s="45"/>
      <c r="E12" s="45"/>
      <c r="F12" s="45"/>
      <c r="G12" s="45"/>
      <c r="H12" s="45"/>
      <c r="I12" s="58"/>
      <c r="J12" s="60"/>
      <c r="K12" s="46"/>
      <c r="L12" s="75"/>
      <c r="M12" s="50"/>
      <c r="N12" s="187"/>
      <c r="O12" s="188"/>
      <c r="P12" s="84"/>
      <c r="Q12" s="50">
        <f>30000+30000</f>
        <v>60000</v>
      </c>
      <c r="R12" s="60">
        <f>30000+30000</f>
        <v>60000</v>
      </c>
      <c r="S12" s="86">
        <v>30000</v>
      </c>
      <c r="T12" s="52"/>
      <c r="U12" s="60">
        <v>45000</v>
      </c>
      <c r="V12" s="48">
        <v>26000</v>
      </c>
      <c r="W12" s="60">
        <v>25000</v>
      </c>
      <c r="X12" s="52">
        <f>SUM(P12:W12)</f>
        <v>246000</v>
      </c>
      <c r="Y12" s="53"/>
      <c r="Z12" s="54"/>
      <c r="AA12" s="53"/>
      <c r="AB12" s="54"/>
      <c r="AC12" s="53"/>
      <c r="AD12" s="54"/>
      <c r="AE12" s="53"/>
      <c r="AF12" s="54"/>
      <c r="AG12" s="53"/>
      <c r="AH12" s="54"/>
    </row>
    <row r="13" spans="1:34" s="55" customFormat="1" ht="14.4" customHeight="1" x14ac:dyDescent="0.25">
      <c r="A13" s="118" t="s">
        <v>106</v>
      </c>
      <c r="B13" s="46"/>
      <c r="C13" s="123"/>
      <c r="D13" s="45"/>
      <c r="E13" s="45"/>
      <c r="F13" s="45"/>
      <c r="G13" s="45"/>
      <c r="H13" s="45"/>
      <c r="I13" s="58"/>
      <c r="J13" s="60"/>
      <c r="K13" s="46"/>
      <c r="L13" s="75"/>
      <c r="M13" s="50"/>
      <c r="N13" s="187"/>
      <c r="O13" s="188"/>
      <c r="P13" s="84"/>
      <c r="Q13" s="20">
        <f>SUM(Q11:Q12)</f>
        <v>1100000</v>
      </c>
      <c r="R13" s="20">
        <f t="shared" ref="R13:W13" si="6">SUM(R11:R12)</f>
        <v>1100000</v>
      </c>
      <c r="S13" s="173">
        <f t="shared" si="6"/>
        <v>415000</v>
      </c>
      <c r="T13" s="25"/>
      <c r="U13" s="22">
        <f t="shared" si="6"/>
        <v>1085000</v>
      </c>
      <c r="V13" s="22">
        <f t="shared" si="6"/>
        <v>546000</v>
      </c>
      <c r="W13" s="24">
        <f t="shared" si="6"/>
        <v>545000</v>
      </c>
      <c r="X13" s="25">
        <f>SUM(X11:X12)</f>
        <v>4791000</v>
      </c>
      <c r="Y13" s="53">
        <f>SUM(Q13:W13)</f>
        <v>4791000</v>
      </c>
      <c r="Z13" s="54"/>
      <c r="AA13" s="53"/>
      <c r="AB13" s="54"/>
      <c r="AC13" s="53"/>
      <c r="AD13" s="54"/>
      <c r="AE13" s="53"/>
      <c r="AF13" s="54"/>
      <c r="AG13" s="53"/>
      <c r="AH13" s="54"/>
    </row>
    <row r="14" spans="1:34" s="55" customFormat="1" ht="14.4" customHeight="1" x14ac:dyDescent="0.25">
      <c r="A14" s="118" t="s">
        <v>95</v>
      </c>
      <c r="B14" s="46"/>
      <c r="C14" s="123"/>
      <c r="D14" s="45"/>
      <c r="E14" s="45"/>
      <c r="F14" s="45"/>
      <c r="G14" s="45"/>
      <c r="H14" s="45"/>
      <c r="I14" s="58"/>
      <c r="J14" s="60"/>
      <c r="K14" s="46"/>
      <c r="L14" s="75"/>
      <c r="M14" s="50"/>
      <c r="N14" s="187"/>
      <c r="O14" s="188"/>
      <c r="P14" s="193"/>
      <c r="Q14" s="56">
        <f>0.088*Q13</f>
        <v>96800</v>
      </c>
      <c r="R14" s="56">
        <f t="shared" ref="R14:W14" si="7">0.088*R13</f>
        <v>96800</v>
      </c>
      <c r="S14" s="86">
        <f t="shared" si="7"/>
        <v>36520</v>
      </c>
      <c r="T14" s="52"/>
      <c r="U14" s="84">
        <f t="shared" si="7"/>
        <v>95480</v>
      </c>
      <c r="V14" s="48">
        <f t="shared" si="7"/>
        <v>48048</v>
      </c>
      <c r="W14" s="60">
        <f t="shared" si="7"/>
        <v>47960</v>
      </c>
      <c r="X14" s="52">
        <f>SUM(P14:W14)</f>
        <v>421608</v>
      </c>
      <c r="Y14" s="53"/>
      <c r="Z14" s="54"/>
      <c r="AA14" s="53"/>
      <c r="AB14" s="54"/>
      <c r="AC14" s="53"/>
      <c r="AD14" s="54"/>
      <c r="AE14" s="53"/>
      <c r="AF14" s="54"/>
      <c r="AG14" s="53"/>
      <c r="AH14" s="54"/>
    </row>
    <row r="15" spans="1:34" s="55" customFormat="1" ht="14.4" customHeight="1" x14ac:dyDescent="0.25">
      <c r="A15" s="118" t="s">
        <v>59</v>
      </c>
      <c r="B15" s="46">
        <v>150000</v>
      </c>
      <c r="C15" s="39">
        <v>10000</v>
      </c>
      <c r="D15" s="39">
        <v>10000</v>
      </c>
      <c r="E15" s="39">
        <v>7000</v>
      </c>
      <c r="F15" s="39">
        <v>3500</v>
      </c>
      <c r="G15" s="39">
        <v>0</v>
      </c>
      <c r="H15" s="39">
        <v>0</v>
      </c>
      <c r="I15" s="58">
        <v>0</v>
      </c>
      <c r="J15" s="53"/>
      <c r="K15" s="46">
        <f t="shared" si="5"/>
        <v>180500</v>
      </c>
      <c r="L15" s="75"/>
      <c r="M15" s="50">
        <v>0</v>
      </c>
      <c r="N15" s="159">
        <v>0</v>
      </c>
      <c r="O15" s="167"/>
      <c r="P15" s="163"/>
      <c r="Q15" s="56"/>
      <c r="R15" s="56"/>
      <c r="S15" s="86"/>
      <c r="T15" s="52"/>
      <c r="U15" s="84"/>
      <c r="V15" s="48"/>
      <c r="W15" s="60"/>
      <c r="X15" s="52">
        <f>SUM(K15:R15)</f>
        <v>180500</v>
      </c>
      <c r="Y15" s="53"/>
      <c r="Z15" s="54"/>
      <c r="AA15" s="53"/>
      <c r="AB15" s="54"/>
      <c r="AC15" s="53"/>
      <c r="AD15" s="54"/>
      <c r="AE15" s="53"/>
      <c r="AF15" s="54"/>
      <c r="AG15" s="53"/>
      <c r="AH15" s="54"/>
    </row>
    <row r="16" spans="1:34" s="55" customFormat="1" ht="14.4" customHeight="1" x14ac:dyDescent="0.25">
      <c r="A16" s="118" t="s">
        <v>72</v>
      </c>
      <c r="B16" s="46"/>
      <c r="C16" s="123"/>
      <c r="D16" s="45"/>
      <c r="E16" s="45"/>
      <c r="F16" s="39"/>
      <c r="G16" s="39"/>
      <c r="H16" s="39"/>
      <c r="I16" s="58"/>
      <c r="J16" s="187"/>
      <c r="K16" s="38"/>
      <c r="L16" s="180"/>
      <c r="M16" s="50">
        <v>100000</v>
      </c>
      <c r="N16" s="159">
        <v>0</v>
      </c>
      <c r="O16" s="59"/>
      <c r="P16" s="164"/>
      <c r="Q16" s="56"/>
      <c r="R16" s="56"/>
      <c r="S16" s="86"/>
      <c r="T16" s="52"/>
      <c r="U16" s="84"/>
      <c r="V16" s="48"/>
      <c r="W16" s="60"/>
      <c r="X16" s="52">
        <f>SUM(I16:W16)</f>
        <v>100000</v>
      </c>
      <c r="Z16" s="54"/>
      <c r="AA16" s="53"/>
      <c r="AB16" s="54"/>
      <c r="AC16" s="53"/>
      <c r="AD16" s="54"/>
      <c r="AE16" s="53"/>
      <c r="AF16" s="54"/>
      <c r="AG16" s="53"/>
      <c r="AH16" s="54"/>
    </row>
    <row r="17" spans="1:34" s="55" customFormat="1" ht="14.4" customHeight="1" x14ac:dyDescent="0.25">
      <c r="A17" s="118" t="s">
        <v>90</v>
      </c>
      <c r="B17" s="46"/>
      <c r="C17" s="123"/>
      <c r="D17" s="45"/>
      <c r="E17" s="45"/>
      <c r="F17" s="39"/>
      <c r="G17" s="39"/>
      <c r="H17" s="39"/>
      <c r="I17" s="58"/>
      <c r="J17" s="187"/>
      <c r="K17" s="38"/>
      <c r="L17" s="164"/>
      <c r="M17" s="50"/>
      <c r="N17" s="159">
        <v>58000</v>
      </c>
      <c r="O17" s="59">
        <v>200000</v>
      </c>
      <c r="P17" s="164">
        <v>275000</v>
      </c>
      <c r="Q17" s="56">
        <v>175000</v>
      </c>
      <c r="R17" s="56">
        <v>175000</v>
      </c>
      <c r="S17" s="86">
        <v>125000</v>
      </c>
      <c r="T17" s="52">
        <f>SUM(N17:S17)</f>
        <v>1008000</v>
      </c>
      <c r="U17" s="84">
        <v>0</v>
      </c>
      <c r="V17" s="48">
        <v>0</v>
      </c>
      <c r="W17" s="60">
        <v>0</v>
      </c>
      <c r="X17" s="52">
        <f>SUM(U17:W17,K17:S17)</f>
        <v>1008000</v>
      </c>
      <c r="Y17" s="96"/>
      <c r="Z17" s="54"/>
      <c r="AA17" s="53"/>
      <c r="AB17" s="54"/>
      <c r="AC17" s="53"/>
      <c r="AD17" s="54"/>
      <c r="AE17" s="53"/>
      <c r="AF17" s="54"/>
      <c r="AG17" s="53"/>
      <c r="AH17" s="54"/>
    </row>
    <row r="18" spans="1:34" s="55" customFormat="1" ht="14.4" customHeight="1" x14ac:dyDescent="0.25">
      <c r="A18" s="118" t="s">
        <v>91</v>
      </c>
      <c r="B18" s="46"/>
      <c r="C18" s="123"/>
      <c r="D18" s="45"/>
      <c r="E18" s="45"/>
      <c r="F18" s="39"/>
      <c r="G18" s="39"/>
      <c r="H18" s="39"/>
      <c r="I18" s="58"/>
      <c r="J18" s="187"/>
      <c r="K18" s="38"/>
      <c r="L18" s="164"/>
      <c r="M18" s="50"/>
      <c r="N18" s="159">
        <v>50000</v>
      </c>
      <c r="O18" s="59">
        <v>100000</v>
      </c>
      <c r="P18" s="164">
        <v>83000</v>
      </c>
      <c r="Q18" s="164">
        <v>83000</v>
      </c>
      <c r="R18" s="164">
        <v>58000</v>
      </c>
      <c r="S18" s="86">
        <v>58000</v>
      </c>
      <c r="T18" s="52">
        <f>SUM(N18:S18)</f>
        <v>432000</v>
      </c>
      <c r="U18" s="84">
        <v>0</v>
      </c>
      <c r="V18" s="48">
        <v>0</v>
      </c>
      <c r="W18" s="60">
        <v>0</v>
      </c>
      <c r="X18" s="52">
        <f t="shared" ref="X18:X19" si="8">SUM(U18:W18,K18:S18)</f>
        <v>432000</v>
      </c>
      <c r="Y18" s="147">
        <f>SUM(X17:X18)</f>
        <v>1440000</v>
      </c>
      <c r="Z18" s="54"/>
      <c r="AA18" s="53"/>
      <c r="AB18" s="54"/>
      <c r="AC18" s="53"/>
      <c r="AD18" s="54"/>
      <c r="AE18" s="53"/>
      <c r="AF18" s="54"/>
      <c r="AG18" s="53"/>
      <c r="AH18" s="54"/>
    </row>
    <row r="19" spans="1:34" s="66" customFormat="1" ht="14.4" customHeight="1" x14ac:dyDescent="0.25">
      <c r="A19" s="110" t="s">
        <v>0</v>
      </c>
      <c r="B19" s="126"/>
      <c r="C19" s="124"/>
      <c r="D19" s="61"/>
      <c r="E19" s="61"/>
      <c r="F19" s="62"/>
      <c r="G19" s="62"/>
      <c r="H19" s="62"/>
      <c r="I19" s="58">
        <v>25000</v>
      </c>
      <c r="J19" s="187"/>
      <c r="K19" s="38"/>
      <c r="L19" s="164">
        <v>25000</v>
      </c>
      <c r="M19" s="39">
        <v>100000</v>
      </c>
      <c r="N19" s="67">
        <v>480000</v>
      </c>
      <c r="O19" s="49">
        <v>400000</v>
      </c>
      <c r="P19" s="37">
        <v>125000</v>
      </c>
      <c r="Q19" s="67">
        <v>125000</v>
      </c>
      <c r="R19" s="67">
        <v>125000</v>
      </c>
      <c r="S19" s="174">
        <v>120000</v>
      </c>
      <c r="T19" s="31"/>
      <c r="U19" s="41"/>
      <c r="V19" s="177"/>
      <c r="W19" s="40">
        <v>0</v>
      </c>
      <c r="X19" s="52">
        <f t="shared" si="8"/>
        <v>1500000</v>
      </c>
      <c r="Y19" s="147">
        <f>+X19</f>
        <v>1500000</v>
      </c>
    </row>
    <row r="20" spans="1:34" s="66" customFormat="1" ht="14.4" customHeight="1" x14ac:dyDescent="0.25">
      <c r="A20" s="110" t="s">
        <v>93</v>
      </c>
      <c r="B20" s="126"/>
      <c r="C20" s="124"/>
      <c r="D20" s="61"/>
      <c r="E20" s="61"/>
      <c r="F20" s="62"/>
      <c r="G20" s="62"/>
      <c r="H20" s="62"/>
      <c r="I20" s="183">
        <v>25000</v>
      </c>
      <c r="J20" s="222"/>
      <c r="K20" s="95"/>
      <c r="L20" s="147">
        <f>SUM(I20,L16)</f>
        <v>25000</v>
      </c>
      <c r="M20" s="63">
        <f>SUM(M19,L20)</f>
        <v>125000</v>
      </c>
      <c r="N20" s="114">
        <f>SUM(M20,N19)</f>
        <v>605000</v>
      </c>
      <c r="O20" s="186">
        <f t="shared" ref="O20:P20" si="9">SUM(N20,O19)</f>
        <v>1005000</v>
      </c>
      <c r="P20" s="114">
        <f t="shared" si="9"/>
        <v>1130000</v>
      </c>
      <c r="Q20" s="184">
        <f>SUM(P20,Q19-Q77)</f>
        <v>1155000</v>
      </c>
      <c r="R20" s="184">
        <f>SUM(Q20,R19-R77)</f>
        <v>1030000</v>
      </c>
      <c r="S20" s="173">
        <f>SUM(R20,S19-S77)</f>
        <v>850000</v>
      </c>
      <c r="T20" s="25"/>
      <c r="U20" s="219">
        <f>SUM(S20,U19-U77)</f>
        <v>550000</v>
      </c>
      <c r="V20" s="173">
        <f>SUM(U20,V19-V77)</f>
        <v>275000</v>
      </c>
      <c r="W20" s="86">
        <f>SUM(V20,W19-W77)</f>
        <v>-25000</v>
      </c>
      <c r="X20" s="94"/>
    </row>
    <row r="21" spans="1:34" s="35" customFormat="1" ht="14.4" customHeight="1" x14ac:dyDescent="0.25">
      <c r="A21" s="110" t="s">
        <v>1</v>
      </c>
      <c r="B21" s="38">
        <f t="shared" ref="B21:G21" si="10">SUM(B10:B19)</f>
        <v>150000</v>
      </c>
      <c r="C21" s="37">
        <f t="shared" si="10"/>
        <v>10000</v>
      </c>
      <c r="D21" s="39">
        <f t="shared" si="10"/>
        <v>10000</v>
      </c>
      <c r="E21" s="45">
        <f t="shared" si="10"/>
        <v>7000</v>
      </c>
      <c r="F21" s="39">
        <f t="shared" si="10"/>
        <v>3500</v>
      </c>
      <c r="G21" s="39">
        <f t="shared" si="10"/>
        <v>0</v>
      </c>
      <c r="H21" s="39">
        <f t="shared" ref="H21" si="11">SUM(H10:H19)</f>
        <v>0</v>
      </c>
      <c r="I21" s="37">
        <f>SUM(I19,I15,I11,I10)</f>
        <v>25000</v>
      </c>
      <c r="J21" s="36"/>
      <c r="K21" s="38">
        <f>SUM(B21:G21)</f>
        <v>180500</v>
      </c>
      <c r="L21" s="37">
        <f>SUM(L16,L15,L11,L10)</f>
        <v>0</v>
      </c>
      <c r="M21" s="39">
        <f>SUM(M19,M15,M11,M10)</f>
        <v>100000</v>
      </c>
      <c r="N21" s="36">
        <f>SUM(N19,N15,N11,N10)</f>
        <v>480000</v>
      </c>
      <c r="O21" s="49">
        <f>SUM(O11:O19)</f>
        <v>700000</v>
      </c>
      <c r="P21" s="37">
        <f t="shared" ref="P21" si="12">SUM(P11:P19)</f>
        <v>483000</v>
      </c>
      <c r="Q21" s="49">
        <f>SUM(Q13:Q19)</f>
        <v>1579800</v>
      </c>
      <c r="R21" s="67">
        <f>SUM(R13:R19)</f>
        <v>1554800</v>
      </c>
      <c r="S21" s="49">
        <f>SUM(S13:S19)</f>
        <v>754520</v>
      </c>
      <c r="T21" s="38"/>
      <c r="U21" s="208">
        <f>SUM(U13:U19)</f>
        <v>1180480</v>
      </c>
      <c r="V21" s="49">
        <f>SUM(V13:V19)</f>
        <v>594048</v>
      </c>
      <c r="W21" s="49">
        <f>SUM(W13:W19)</f>
        <v>592960</v>
      </c>
      <c r="X21" s="95">
        <f>SUM(X13:X19)</f>
        <v>8433108</v>
      </c>
      <c r="Y21" s="142">
        <f>+X21</f>
        <v>8433108</v>
      </c>
    </row>
    <row r="22" spans="1:34" s="35" customFormat="1" ht="27" customHeight="1" thickBot="1" x14ac:dyDescent="0.3">
      <c r="A22" s="112" t="s">
        <v>75</v>
      </c>
      <c r="B22" s="70">
        <f t="shared" ref="B22:I22" si="13">(B7+B21)</f>
        <v>150000</v>
      </c>
      <c r="C22" s="71">
        <f t="shared" si="13"/>
        <v>131360</v>
      </c>
      <c r="D22" s="69">
        <f t="shared" si="13"/>
        <v>133090</v>
      </c>
      <c r="E22" s="45">
        <f t="shared" si="13"/>
        <v>107580</v>
      </c>
      <c r="F22" s="69">
        <f t="shared" si="13"/>
        <v>89010</v>
      </c>
      <c r="G22" s="69">
        <f t="shared" si="13"/>
        <v>67940</v>
      </c>
      <c r="H22" s="69">
        <f t="shared" si="13"/>
        <v>34770</v>
      </c>
      <c r="I22" s="71">
        <f t="shared" si="13"/>
        <v>59770</v>
      </c>
      <c r="J22" s="73"/>
      <c r="K22" s="70"/>
      <c r="L22" s="71">
        <f>(L7+L21)</f>
        <v>39450</v>
      </c>
      <c r="M22" s="39">
        <f>(L7+M21)</f>
        <v>139450</v>
      </c>
      <c r="N22" s="68">
        <f t="shared" ref="N22:W22" si="14">(N7+N21)</f>
        <v>581033.33333333337</v>
      </c>
      <c r="O22" s="72">
        <f t="shared" si="14"/>
        <v>789863.33333333337</v>
      </c>
      <c r="P22" s="71">
        <f t="shared" si="14"/>
        <v>734460</v>
      </c>
      <c r="Q22" s="71">
        <f t="shared" si="14"/>
        <v>1850256.6666666665</v>
      </c>
      <c r="R22" s="71">
        <f t="shared" si="14"/>
        <v>2412553.333333333</v>
      </c>
      <c r="S22" s="49">
        <f t="shared" si="14"/>
        <v>2116786.666666666</v>
      </c>
      <c r="T22" s="131">
        <f>SUM(T17:T18)</f>
        <v>1440000</v>
      </c>
      <c r="U22" s="71">
        <f t="shared" si="14"/>
        <v>2148176.666666666</v>
      </c>
      <c r="V22" s="71">
        <f t="shared" si="14"/>
        <v>1764507.9999999995</v>
      </c>
      <c r="W22" s="71">
        <f t="shared" si="14"/>
        <v>1560656.666666666</v>
      </c>
      <c r="X22" s="141"/>
    </row>
    <row r="23" spans="1:34" s="74" customFormat="1" ht="3.6" customHeight="1" x14ac:dyDescent="0.25">
      <c r="A23" s="112"/>
      <c r="B23" s="70"/>
      <c r="C23" s="73"/>
      <c r="D23" s="73"/>
      <c r="E23" s="73"/>
      <c r="F23" s="71"/>
      <c r="G23" s="71"/>
      <c r="H23" s="73"/>
      <c r="I23" s="73"/>
      <c r="J23" s="73"/>
      <c r="K23" s="70"/>
      <c r="L23" s="180"/>
      <c r="M23" s="36"/>
      <c r="N23" s="73"/>
      <c r="O23" s="72"/>
      <c r="P23" s="73"/>
      <c r="Q23" s="73"/>
      <c r="R23" s="68"/>
      <c r="S23" s="72"/>
      <c r="T23" s="33"/>
      <c r="U23" s="71"/>
      <c r="V23" s="69"/>
      <c r="W23" s="73"/>
      <c r="X23" s="70"/>
    </row>
    <row r="24" spans="1:34" s="35" customFormat="1" ht="15" customHeight="1" x14ac:dyDescent="0.25">
      <c r="A24" s="110" t="s">
        <v>2</v>
      </c>
      <c r="B24" s="38"/>
      <c r="C24" s="36"/>
      <c r="D24" s="36"/>
      <c r="E24" s="36"/>
      <c r="F24" s="36"/>
      <c r="G24" s="36"/>
      <c r="H24" s="36"/>
      <c r="I24" s="36"/>
      <c r="J24" s="208"/>
      <c r="K24" s="38"/>
      <c r="L24" s="180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8"/>
    </row>
    <row r="25" spans="1:34" s="55" customFormat="1" ht="15" customHeight="1" thickBot="1" x14ac:dyDescent="0.3">
      <c r="A25" s="113" t="s">
        <v>41</v>
      </c>
      <c r="B25" s="127"/>
      <c r="C25" s="77"/>
      <c r="D25" s="76"/>
      <c r="E25" s="77"/>
      <c r="F25" s="76"/>
      <c r="G25" s="76"/>
      <c r="H25" s="76"/>
      <c r="I25" s="77"/>
      <c r="J25" s="51"/>
      <c r="K25" s="78"/>
      <c r="L25" s="75"/>
      <c r="M25" s="76"/>
      <c r="N25" s="77"/>
      <c r="O25" s="77"/>
      <c r="P25" s="76"/>
      <c r="Q25" s="77"/>
      <c r="R25" s="76"/>
      <c r="S25" s="76"/>
      <c r="T25" s="214"/>
      <c r="U25" s="76"/>
      <c r="V25" s="76"/>
      <c r="W25" s="76"/>
      <c r="X25" s="79"/>
      <c r="Y25" s="53"/>
      <c r="Z25" s="54"/>
      <c r="AA25" s="53"/>
      <c r="AB25" s="54"/>
      <c r="AC25" s="53"/>
      <c r="AD25" s="54"/>
      <c r="AE25" s="53"/>
      <c r="AF25" s="54"/>
      <c r="AG25" s="53"/>
      <c r="AH25" s="54"/>
    </row>
    <row r="26" spans="1:34" s="55" customFormat="1" ht="15" customHeight="1" x14ac:dyDescent="0.25">
      <c r="A26" s="119" t="s">
        <v>42</v>
      </c>
      <c r="B26" s="52">
        <v>5000</v>
      </c>
      <c r="C26" s="84">
        <v>0</v>
      </c>
      <c r="D26" s="80">
        <v>6000</v>
      </c>
      <c r="E26" s="80">
        <v>2000</v>
      </c>
      <c r="F26" s="80"/>
      <c r="G26" s="80">
        <v>4000</v>
      </c>
      <c r="H26" s="85">
        <v>4000</v>
      </c>
      <c r="I26" s="89">
        <v>2000</v>
      </c>
      <c r="J26" s="191"/>
      <c r="K26" s="46">
        <f>SUM(B26:I26)</f>
        <v>23000</v>
      </c>
      <c r="L26" s="75">
        <v>2000</v>
      </c>
      <c r="M26" s="182">
        <v>2000</v>
      </c>
      <c r="N26" s="89">
        <v>6000</v>
      </c>
      <c r="O26" s="86">
        <v>15000</v>
      </c>
      <c r="P26" s="82">
        <v>15000</v>
      </c>
      <c r="Q26" s="56">
        <v>5000</v>
      </c>
      <c r="R26" s="89">
        <v>5000</v>
      </c>
      <c r="S26" s="89">
        <v>5000</v>
      </c>
      <c r="T26" s="215">
        <f>SUM(N26:S26)</f>
        <v>51000</v>
      </c>
      <c r="U26" s="82"/>
      <c r="V26" s="80"/>
      <c r="W26" s="85">
        <v>0</v>
      </c>
      <c r="X26" s="52">
        <f t="shared" ref="X26:X51" si="15">SUM(U26:W26,K26:S26)</f>
        <v>78000</v>
      </c>
      <c r="Y26" s="53"/>
      <c r="Z26" s="54"/>
      <c r="AA26" s="53"/>
      <c r="AB26" s="54"/>
      <c r="AC26" s="53"/>
      <c r="AD26" s="54"/>
      <c r="AE26" s="53"/>
      <c r="AF26" s="54"/>
      <c r="AG26" s="53"/>
      <c r="AH26" s="54"/>
    </row>
    <row r="27" spans="1:34" s="55" customFormat="1" ht="15" customHeight="1" x14ac:dyDescent="0.25">
      <c r="A27" s="119" t="s">
        <v>43</v>
      </c>
      <c r="B27" s="52">
        <v>0</v>
      </c>
      <c r="C27" s="84"/>
      <c r="D27" s="80"/>
      <c r="E27" s="48"/>
      <c r="F27" s="50"/>
      <c r="G27" s="50"/>
      <c r="H27" s="85"/>
      <c r="I27" s="88"/>
      <c r="J27" s="86"/>
      <c r="K27" s="46">
        <f t="shared" ref="K27:K51" si="16">SUM(B27:I27)</f>
        <v>0</v>
      </c>
      <c r="L27" s="75"/>
      <c r="M27" s="50"/>
      <c r="N27" s="56"/>
      <c r="O27" s="83">
        <v>10000</v>
      </c>
      <c r="P27" s="82"/>
      <c r="Q27" s="56"/>
      <c r="R27" s="89"/>
      <c r="S27" s="89"/>
      <c r="T27" s="81"/>
      <c r="U27" s="82"/>
      <c r="V27" s="80"/>
      <c r="W27" s="85"/>
      <c r="X27" s="52">
        <f t="shared" si="15"/>
        <v>10000</v>
      </c>
      <c r="Y27" s="53"/>
      <c r="Z27" s="54"/>
      <c r="AA27" s="53"/>
      <c r="AB27" s="54"/>
      <c r="AC27" s="53"/>
      <c r="AD27" s="54"/>
      <c r="AE27" s="53"/>
      <c r="AF27" s="54"/>
      <c r="AG27" s="53"/>
      <c r="AH27" s="54"/>
    </row>
    <row r="28" spans="1:34" s="55" customFormat="1" ht="15" customHeight="1" x14ac:dyDescent="0.25">
      <c r="A28" s="75" t="s">
        <v>44</v>
      </c>
      <c r="B28" s="52">
        <v>0</v>
      </c>
      <c r="C28" s="84"/>
      <c r="D28" s="50">
        <v>5000</v>
      </c>
      <c r="E28" s="50"/>
      <c r="F28" s="80"/>
      <c r="G28" s="80">
        <v>4000</v>
      </c>
      <c r="H28" s="85"/>
      <c r="I28" s="88"/>
      <c r="J28" s="86"/>
      <c r="K28" s="46">
        <f t="shared" si="16"/>
        <v>9000</v>
      </c>
      <c r="L28" s="75"/>
      <c r="M28" s="182"/>
      <c r="N28" s="88"/>
      <c r="O28" s="87"/>
      <c r="P28" s="82"/>
      <c r="Q28" s="88"/>
      <c r="R28" s="89"/>
      <c r="S28" s="89"/>
      <c r="T28" s="81"/>
      <c r="U28" s="82"/>
      <c r="V28" s="80"/>
      <c r="W28" s="85"/>
      <c r="X28" s="52">
        <f t="shared" si="15"/>
        <v>9000</v>
      </c>
      <c r="Y28" s="53"/>
      <c r="Z28" s="54"/>
      <c r="AA28" s="53"/>
      <c r="AB28" s="54"/>
      <c r="AC28" s="53"/>
      <c r="AD28" s="54"/>
      <c r="AE28" s="53"/>
      <c r="AF28" s="54"/>
      <c r="AG28" s="53"/>
      <c r="AH28" s="54"/>
    </row>
    <row r="29" spans="1:34" s="55" customFormat="1" ht="15" customHeight="1" x14ac:dyDescent="0.25">
      <c r="A29" s="75" t="s">
        <v>65</v>
      </c>
      <c r="B29" s="52">
        <v>0</v>
      </c>
      <c r="C29" s="84"/>
      <c r="D29" s="50"/>
      <c r="E29" s="50"/>
      <c r="F29" s="80">
        <v>2600</v>
      </c>
      <c r="G29" s="80">
        <v>1000</v>
      </c>
      <c r="H29" s="85">
        <v>2000</v>
      </c>
      <c r="I29" s="88">
        <v>0</v>
      </c>
      <c r="J29" s="86"/>
      <c r="K29" s="46">
        <f t="shared" si="16"/>
        <v>5600</v>
      </c>
      <c r="L29" s="75"/>
      <c r="M29" s="182">
        <v>1000</v>
      </c>
      <c r="N29" s="88">
        <v>2000</v>
      </c>
      <c r="O29" s="87"/>
      <c r="P29" s="82">
        <v>1500</v>
      </c>
      <c r="Q29" s="88"/>
      <c r="R29" s="89">
        <v>1500</v>
      </c>
      <c r="S29" s="89"/>
      <c r="T29" s="81"/>
      <c r="U29" s="82">
        <v>1500</v>
      </c>
      <c r="V29" s="80"/>
      <c r="W29" s="85"/>
      <c r="X29" s="52">
        <f t="shared" si="15"/>
        <v>13100</v>
      </c>
      <c r="Y29" s="53"/>
      <c r="Z29" s="54"/>
      <c r="AA29" s="53"/>
      <c r="AB29" s="54"/>
      <c r="AC29" s="53"/>
      <c r="AD29" s="54"/>
      <c r="AE29" s="53"/>
      <c r="AF29" s="54"/>
      <c r="AG29" s="53"/>
      <c r="AH29" s="54"/>
    </row>
    <row r="30" spans="1:34" s="55" customFormat="1" ht="15" customHeight="1" x14ac:dyDescent="0.25">
      <c r="A30" s="75" t="s">
        <v>45</v>
      </c>
      <c r="B30" s="52">
        <v>0</v>
      </c>
      <c r="C30" s="84"/>
      <c r="D30" s="50">
        <v>7000</v>
      </c>
      <c r="E30" s="50"/>
      <c r="F30" s="80"/>
      <c r="G30" s="80"/>
      <c r="H30" s="85">
        <v>1500</v>
      </c>
      <c r="I30" s="88"/>
      <c r="J30" s="86"/>
      <c r="K30" s="46">
        <f t="shared" si="16"/>
        <v>8500</v>
      </c>
      <c r="L30" s="75"/>
      <c r="M30" s="182"/>
      <c r="N30" s="88"/>
      <c r="O30" s="87"/>
      <c r="P30" s="82"/>
      <c r="Q30" s="88"/>
      <c r="R30" s="89"/>
      <c r="S30" s="89"/>
      <c r="T30" s="81"/>
      <c r="U30" s="82"/>
      <c r="V30" s="80"/>
      <c r="W30" s="85"/>
      <c r="X30" s="52">
        <f t="shared" si="15"/>
        <v>8500</v>
      </c>
      <c r="Y30" s="53"/>
      <c r="Z30" s="54"/>
      <c r="AA30" s="53"/>
      <c r="AB30" s="54"/>
      <c r="AC30" s="53"/>
      <c r="AD30" s="54"/>
      <c r="AE30" s="53"/>
      <c r="AF30" s="54"/>
      <c r="AG30" s="53"/>
      <c r="AH30" s="54"/>
    </row>
    <row r="31" spans="1:34" s="55" customFormat="1" ht="15" customHeight="1" x14ac:dyDescent="0.25">
      <c r="A31" s="75" t="s">
        <v>69</v>
      </c>
      <c r="B31" s="52">
        <v>0</v>
      </c>
      <c r="C31" s="47">
        <v>0</v>
      </c>
      <c r="D31" s="80">
        <v>5000</v>
      </c>
      <c r="E31" s="50">
        <v>5000</v>
      </c>
      <c r="F31" s="80">
        <v>2000</v>
      </c>
      <c r="G31" s="80">
        <v>2600</v>
      </c>
      <c r="H31" s="85">
        <v>10000</v>
      </c>
      <c r="I31" s="88">
        <v>4500</v>
      </c>
      <c r="J31" s="86"/>
      <c r="K31" s="46">
        <f t="shared" si="16"/>
        <v>29100</v>
      </c>
      <c r="L31" s="75"/>
      <c r="M31" s="182"/>
      <c r="N31" s="88"/>
      <c r="O31" s="87"/>
      <c r="P31" s="82">
        <v>2000</v>
      </c>
      <c r="Q31" s="88">
        <v>1500</v>
      </c>
      <c r="R31" s="89"/>
      <c r="S31" s="89"/>
      <c r="T31" s="81"/>
      <c r="U31" s="82"/>
      <c r="V31" s="80"/>
      <c r="W31" s="85"/>
      <c r="X31" s="52">
        <f t="shared" si="15"/>
        <v>32600</v>
      </c>
      <c r="Y31" s="53"/>
      <c r="Z31" s="54"/>
      <c r="AA31" s="53"/>
      <c r="AB31" s="54"/>
      <c r="AC31" s="53"/>
      <c r="AD31" s="54"/>
      <c r="AE31" s="53"/>
      <c r="AF31" s="54"/>
      <c r="AG31" s="53"/>
      <c r="AH31" s="54"/>
    </row>
    <row r="32" spans="1:34" s="55" customFormat="1" ht="15" customHeight="1" x14ac:dyDescent="0.25">
      <c r="A32" s="120" t="s">
        <v>53</v>
      </c>
      <c r="B32" s="52">
        <v>2500</v>
      </c>
      <c r="C32" s="47">
        <v>0</v>
      </c>
      <c r="D32" s="80"/>
      <c r="E32" s="50"/>
      <c r="F32" s="80">
        <v>1500</v>
      </c>
      <c r="G32" s="80"/>
      <c r="H32" s="85">
        <v>1000</v>
      </c>
      <c r="I32" s="88">
        <v>3000</v>
      </c>
      <c r="J32" s="86"/>
      <c r="K32" s="46">
        <f t="shared" si="16"/>
        <v>8000</v>
      </c>
      <c r="L32" s="75">
        <v>2000</v>
      </c>
      <c r="M32" s="182"/>
      <c r="N32" s="88"/>
      <c r="O32" s="87"/>
      <c r="P32" s="82"/>
      <c r="Q32" s="88"/>
      <c r="R32" s="89"/>
      <c r="S32" s="89"/>
      <c r="T32" s="81"/>
      <c r="U32" s="82"/>
      <c r="V32" s="80"/>
      <c r="W32" s="85"/>
      <c r="X32" s="52">
        <f t="shared" si="15"/>
        <v>10000</v>
      </c>
      <c r="Y32" s="53"/>
      <c r="Z32" s="54"/>
      <c r="AA32" s="53"/>
      <c r="AB32" s="54"/>
      <c r="AC32" s="53"/>
      <c r="AD32" s="54"/>
      <c r="AE32" s="53"/>
      <c r="AF32" s="54"/>
      <c r="AG32" s="53"/>
      <c r="AH32" s="54"/>
    </row>
    <row r="33" spans="1:34" s="55" customFormat="1" ht="15" customHeight="1" x14ac:dyDescent="0.25">
      <c r="A33" s="120" t="s">
        <v>50</v>
      </c>
      <c r="B33" s="52">
        <v>13000</v>
      </c>
      <c r="C33" s="47">
        <v>0</v>
      </c>
      <c r="D33" s="80"/>
      <c r="E33" s="50"/>
      <c r="F33" s="80"/>
      <c r="G33" s="80">
        <v>0</v>
      </c>
      <c r="H33" s="85"/>
      <c r="I33" s="89">
        <v>0</v>
      </c>
      <c r="J33" s="83"/>
      <c r="K33" s="46">
        <f t="shared" si="16"/>
        <v>13000</v>
      </c>
      <c r="L33" s="75"/>
      <c r="M33" s="182">
        <v>0</v>
      </c>
      <c r="N33" s="89">
        <v>0</v>
      </c>
      <c r="O33" s="87"/>
      <c r="P33" s="82"/>
      <c r="Q33" s="88"/>
      <c r="R33" s="89"/>
      <c r="S33" s="89"/>
      <c r="T33" s="81"/>
      <c r="U33" s="82"/>
      <c r="V33" s="80"/>
      <c r="W33" s="85"/>
      <c r="X33" s="52">
        <f t="shared" si="15"/>
        <v>13000</v>
      </c>
      <c r="Y33" s="53"/>
      <c r="Z33" s="54"/>
      <c r="AA33" s="53"/>
      <c r="AB33" s="54"/>
      <c r="AC33" s="53"/>
      <c r="AD33" s="54"/>
      <c r="AE33" s="53"/>
      <c r="AF33" s="54"/>
      <c r="AG33" s="53"/>
      <c r="AH33" s="54"/>
    </row>
    <row r="34" spans="1:34" s="55" customFormat="1" ht="15" customHeight="1" x14ac:dyDescent="0.25">
      <c r="A34" s="120" t="s">
        <v>70</v>
      </c>
      <c r="B34" s="52">
        <v>0</v>
      </c>
      <c r="C34" s="47"/>
      <c r="D34" s="80"/>
      <c r="E34" s="50"/>
      <c r="F34" s="80"/>
      <c r="G34" s="80">
        <v>2000</v>
      </c>
      <c r="H34" s="85">
        <v>1500</v>
      </c>
      <c r="I34" s="89">
        <v>2000</v>
      </c>
      <c r="J34" s="83"/>
      <c r="K34" s="46">
        <f t="shared" si="16"/>
        <v>5500</v>
      </c>
      <c r="L34" s="75">
        <v>1000</v>
      </c>
      <c r="M34" s="182"/>
      <c r="N34" s="89"/>
      <c r="O34" s="87"/>
      <c r="P34" s="82"/>
      <c r="Q34" s="56"/>
      <c r="R34" s="89">
        <v>2000</v>
      </c>
      <c r="S34" s="89"/>
      <c r="T34" s="81"/>
      <c r="U34" s="82"/>
      <c r="V34" s="80"/>
      <c r="W34" s="85"/>
      <c r="X34" s="52">
        <f t="shared" si="15"/>
        <v>8500</v>
      </c>
      <c r="Z34" s="54"/>
      <c r="AA34" s="53"/>
      <c r="AB34" s="54"/>
      <c r="AC34" s="53"/>
      <c r="AD34" s="54"/>
      <c r="AE34" s="53"/>
      <c r="AF34" s="54"/>
      <c r="AG34" s="53"/>
      <c r="AH34" s="54"/>
    </row>
    <row r="35" spans="1:34" s="55" customFormat="1" ht="15" customHeight="1" x14ac:dyDescent="0.25">
      <c r="A35" s="120" t="s">
        <v>110</v>
      </c>
      <c r="B35" s="52"/>
      <c r="C35" s="47"/>
      <c r="D35" s="80"/>
      <c r="E35" s="50"/>
      <c r="F35" s="80"/>
      <c r="G35" s="80"/>
      <c r="H35" s="85"/>
      <c r="I35" s="89"/>
      <c r="J35" s="83"/>
      <c r="K35" s="46"/>
      <c r="L35" s="75"/>
      <c r="M35" s="182"/>
      <c r="N35" s="85">
        <v>15000</v>
      </c>
      <c r="O35" s="86"/>
      <c r="P35" s="85"/>
      <c r="Q35" s="56"/>
      <c r="R35" s="89"/>
      <c r="S35" s="89"/>
      <c r="T35" s="81">
        <f>SUM(N35:S35)</f>
        <v>15000</v>
      </c>
      <c r="U35" s="82"/>
      <c r="V35" s="80"/>
      <c r="W35" s="85"/>
      <c r="X35" s="52">
        <f t="shared" si="15"/>
        <v>15000</v>
      </c>
      <c r="Y35" s="53">
        <f>SUM(X26:X35)</f>
        <v>197700</v>
      </c>
      <c r="Z35" s="54"/>
      <c r="AA35" s="53"/>
      <c r="AB35" s="54"/>
      <c r="AC35" s="53"/>
      <c r="AD35" s="54"/>
      <c r="AE35" s="53"/>
      <c r="AF35" s="54"/>
      <c r="AG35" s="53"/>
      <c r="AH35" s="54"/>
    </row>
    <row r="36" spans="1:34" s="55" customFormat="1" ht="15" customHeight="1" x14ac:dyDescent="0.25">
      <c r="A36" s="120" t="s">
        <v>48</v>
      </c>
      <c r="B36" s="52">
        <v>240</v>
      </c>
      <c r="C36" s="47">
        <v>0</v>
      </c>
      <c r="D36" s="80">
        <v>240</v>
      </c>
      <c r="E36" s="53"/>
      <c r="F36" s="50"/>
      <c r="G36" s="50">
        <v>3200</v>
      </c>
      <c r="H36" s="85"/>
      <c r="I36" s="88">
        <v>2000</v>
      </c>
      <c r="J36" s="86"/>
      <c r="K36" s="46">
        <v>666</v>
      </c>
      <c r="L36" s="75"/>
      <c r="M36" s="182">
        <v>600</v>
      </c>
      <c r="N36" s="85">
        <v>5000</v>
      </c>
      <c r="O36" s="83">
        <v>5000</v>
      </c>
      <c r="P36" s="85">
        <v>5000</v>
      </c>
      <c r="Q36" s="88">
        <v>8400</v>
      </c>
      <c r="R36" s="89">
        <v>6000</v>
      </c>
      <c r="S36" s="89"/>
      <c r="T36" s="81"/>
      <c r="U36" s="82"/>
      <c r="V36" s="80"/>
      <c r="W36" s="85"/>
      <c r="X36" s="52">
        <f t="shared" si="15"/>
        <v>30666</v>
      </c>
      <c r="Y36" s="53"/>
      <c r="Z36" s="54"/>
      <c r="AA36" s="53"/>
      <c r="AB36" s="54"/>
      <c r="AC36" s="53"/>
      <c r="AD36" s="54"/>
      <c r="AE36" s="53"/>
      <c r="AF36" s="54"/>
      <c r="AG36" s="53"/>
      <c r="AH36" s="54"/>
    </row>
    <row r="37" spans="1:34" s="55" customFormat="1" ht="15" customHeight="1" x14ac:dyDescent="0.25">
      <c r="A37" s="120" t="s">
        <v>54</v>
      </c>
      <c r="B37" s="128">
        <v>0</v>
      </c>
      <c r="C37" s="47">
        <v>0</v>
      </c>
      <c r="D37" s="80"/>
      <c r="E37" s="50"/>
      <c r="F37" s="80"/>
      <c r="G37" s="80">
        <v>0</v>
      </c>
      <c r="H37" s="85"/>
      <c r="I37" s="88"/>
      <c r="J37" s="86"/>
      <c r="K37" s="46">
        <f t="shared" si="16"/>
        <v>0</v>
      </c>
      <c r="L37" s="75"/>
      <c r="M37" s="182">
        <v>1000</v>
      </c>
      <c r="N37" s="88">
        <v>2000</v>
      </c>
      <c r="O37" s="83">
        <v>1000</v>
      </c>
      <c r="P37" s="82"/>
      <c r="Q37" s="88"/>
      <c r="R37" s="89"/>
      <c r="S37" s="89"/>
      <c r="T37" s="81"/>
      <c r="U37" s="82"/>
      <c r="V37" s="80"/>
      <c r="W37" s="85"/>
      <c r="X37" s="52">
        <f t="shared" si="15"/>
        <v>4000</v>
      </c>
      <c r="Y37" s="53">
        <f>SUM(X36:X37)</f>
        <v>34666</v>
      </c>
      <c r="Z37" s="54"/>
      <c r="AA37" s="53"/>
      <c r="AB37" s="54"/>
      <c r="AC37" s="53"/>
      <c r="AD37" s="54"/>
      <c r="AE37" s="53"/>
      <c r="AF37" s="54"/>
      <c r="AG37" s="53"/>
      <c r="AH37" s="54"/>
    </row>
    <row r="38" spans="1:34" s="55" customFormat="1" ht="15" customHeight="1" x14ac:dyDescent="0.25">
      <c r="A38" s="75" t="s">
        <v>46</v>
      </c>
      <c r="B38" s="128">
        <v>0</v>
      </c>
      <c r="C38" s="47">
        <v>0</v>
      </c>
      <c r="D38" s="80"/>
      <c r="E38" s="50"/>
      <c r="F38" s="80"/>
      <c r="G38" s="80"/>
      <c r="H38" s="60"/>
      <c r="I38" s="88"/>
      <c r="J38" s="86"/>
      <c r="K38" s="46">
        <f t="shared" si="16"/>
        <v>0</v>
      </c>
      <c r="L38" s="75"/>
      <c r="M38" s="182">
        <v>4000</v>
      </c>
      <c r="N38" s="88"/>
      <c r="O38" s="87">
        <v>0</v>
      </c>
      <c r="P38" s="82">
        <v>0</v>
      </c>
      <c r="Q38" s="89">
        <v>0</v>
      </c>
      <c r="R38" s="89">
        <v>0</v>
      </c>
      <c r="S38" s="89"/>
      <c r="T38" s="81"/>
      <c r="U38" s="82"/>
      <c r="V38" s="80"/>
      <c r="W38" s="85"/>
      <c r="X38" s="52">
        <f t="shared" si="15"/>
        <v>4000</v>
      </c>
      <c r="Y38" s="53"/>
      <c r="Z38" s="54"/>
      <c r="AA38" s="53"/>
      <c r="AB38" s="54"/>
      <c r="AC38" s="53"/>
      <c r="AD38" s="54"/>
      <c r="AE38" s="53"/>
      <c r="AF38" s="54"/>
      <c r="AG38" s="53"/>
      <c r="AH38" s="54"/>
    </row>
    <row r="39" spans="1:34" s="55" customFormat="1" ht="15" customHeight="1" x14ac:dyDescent="0.25">
      <c r="A39" s="75" t="s">
        <v>96</v>
      </c>
      <c r="B39" s="52">
        <v>0</v>
      </c>
      <c r="C39" s="47">
        <v>0</v>
      </c>
      <c r="D39" s="50"/>
      <c r="E39" s="50"/>
      <c r="F39" s="80"/>
      <c r="G39" s="80"/>
      <c r="H39" s="85"/>
      <c r="I39" s="88"/>
      <c r="J39" s="86"/>
      <c r="K39" s="46">
        <f t="shared" si="16"/>
        <v>0</v>
      </c>
      <c r="L39" s="75"/>
      <c r="M39" s="50"/>
      <c r="N39" s="82">
        <v>40000</v>
      </c>
      <c r="O39" s="87">
        <v>40000</v>
      </c>
      <c r="P39" s="82"/>
      <c r="Q39" s="89"/>
      <c r="R39" s="89"/>
      <c r="S39" s="89"/>
      <c r="T39" s="81"/>
      <c r="U39" s="82"/>
      <c r="V39" s="80"/>
      <c r="W39" s="85"/>
      <c r="X39" s="52">
        <f t="shared" si="15"/>
        <v>80000</v>
      </c>
      <c r="Y39" s="53"/>
      <c r="Z39" s="54"/>
      <c r="AA39" s="53"/>
      <c r="AB39" s="54"/>
      <c r="AC39" s="53"/>
      <c r="AD39" s="54"/>
      <c r="AE39" s="53"/>
      <c r="AF39" s="54"/>
      <c r="AG39" s="53"/>
      <c r="AH39" s="54"/>
    </row>
    <row r="40" spans="1:34" s="55" customFormat="1" ht="15" customHeight="1" x14ac:dyDescent="0.25">
      <c r="A40" s="75" t="s">
        <v>47</v>
      </c>
      <c r="B40" s="52">
        <v>0</v>
      </c>
      <c r="C40" s="47">
        <v>0</v>
      </c>
      <c r="D40" s="50"/>
      <c r="E40" s="50"/>
      <c r="F40" s="80"/>
      <c r="G40" s="80"/>
      <c r="H40" s="85"/>
      <c r="I40" s="89"/>
      <c r="J40" s="83"/>
      <c r="K40" s="46">
        <f t="shared" si="16"/>
        <v>0</v>
      </c>
      <c r="L40" s="75"/>
      <c r="M40" s="50"/>
      <c r="N40" s="47">
        <v>20000</v>
      </c>
      <c r="O40" s="87">
        <v>30000</v>
      </c>
      <c r="P40" s="82"/>
      <c r="Q40" s="89"/>
      <c r="R40" s="89"/>
      <c r="S40" s="89"/>
      <c r="T40" s="81"/>
      <c r="U40" s="82"/>
      <c r="V40" s="80"/>
      <c r="W40" s="85"/>
      <c r="X40" s="52">
        <f t="shared" si="15"/>
        <v>50000</v>
      </c>
      <c r="Y40" s="53"/>
      <c r="Z40" s="54"/>
      <c r="AA40" s="53"/>
      <c r="AB40" s="54"/>
      <c r="AC40" s="53"/>
      <c r="AD40" s="54"/>
      <c r="AE40" s="53"/>
      <c r="AF40" s="54"/>
      <c r="AG40" s="53"/>
      <c r="AH40" s="54"/>
    </row>
    <row r="41" spans="1:34" s="55" customFormat="1" ht="15" customHeight="1" x14ac:dyDescent="0.25">
      <c r="A41" s="75" t="s">
        <v>113</v>
      </c>
      <c r="B41" s="52">
        <v>0</v>
      </c>
      <c r="C41" s="47">
        <v>0</v>
      </c>
      <c r="D41" s="50"/>
      <c r="E41" s="50"/>
      <c r="F41" s="80"/>
      <c r="G41" s="80"/>
      <c r="H41" s="85"/>
      <c r="I41" s="88"/>
      <c r="J41" s="86"/>
      <c r="K41" s="46">
        <f t="shared" si="16"/>
        <v>0</v>
      </c>
      <c r="L41" s="75"/>
      <c r="M41" s="50"/>
      <c r="N41" s="47">
        <v>20000</v>
      </c>
      <c r="O41" s="87">
        <v>35000</v>
      </c>
      <c r="P41" s="82"/>
      <c r="Q41" s="89"/>
      <c r="R41" s="89"/>
      <c r="S41" s="89"/>
      <c r="T41" s="81"/>
      <c r="U41" s="82"/>
      <c r="V41" s="80"/>
      <c r="W41" s="85"/>
      <c r="X41" s="52">
        <f t="shared" si="15"/>
        <v>55000</v>
      </c>
      <c r="Y41" s="53">
        <f>SUM(X38:X41)</f>
        <v>189000</v>
      </c>
      <c r="Z41" s="54"/>
      <c r="AA41" s="53"/>
      <c r="AB41" s="54"/>
      <c r="AC41" s="53"/>
      <c r="AD41" s="54"/>
      <c r="AE41" s="53"/>
      <c r="AF41" s="54"/>
      <c r="AG41" s="53"/>
      <c r="AH41" s="54"/>
    </row>
    <row r="42" spans="1:34" s="55" customFormat="1" ht="15" customHeight="1" x14ac:dyDescent="0.25">
      <c r="A42" s="120" t="s">
        <v>115</v>
      </c>
      <c r="B42" s="52">
        <v>0</v>
      </c>
      <c r="C42" s="47">
        <v>0</v>
      </c>
      <c r="D42" s="80"/>
      <c r="E42" s="50"/>
      <c r="F42" s="80"/>
      <c r="G42" s="80"/>
      <c r="H42" s="85"/>
      <c r="I42" s="88"/>
      <c r="J42" s="86"/>
      <c r="K42" s="46">
        <f t="shared" si="16"/>
        <v>0</v>
      </c>
      <c r="L42" s="75"/>
      <c r="M42" s="182"/>
      <c r="N42" s="88"/>
      <c r="O42" s="87">
        <v>75000</v>
      </c>
      <c r="P42" s="82"/>
      <c r="Q42" s="89">
        <v>50000</v>
      </c>
      <c r="R42" s="89">
        <v>25000</v>
      </c>
      <c r="S42" s="89"/>
      <c r="T42" s="81">
        <f>SUM(N42:S42)</f>
        <v>150000</v>
      </c>
      <c r="U42" s="89"/>
      <c r="V42" s="80"/>
      <c r="W42" s="85"/>
      <c r="X42" s="52">
        <f t="shared" si="15"/>
        <v>150000</v>
      </c>
      <c r="Y42" s="53"/>
      <c r="Z42" s="54"/>
      <c r="AA42" s="53"/>
      <c r="AB42" s="54"/>
      <c r="AC42" s="53"/>
      <c r="AD42" s="54"/>
      <c r="AE42" s="53"/>
      <c r="AF42" s="54"/>
      <c r="AG42" s="53"/>
      <c r="AH42" s="54"/>
    </row>
    <row r="43" spans="1:34" s="55" customFormat="1" ht="15" customHeight="1" x14ac:dyDescent="0.3">
      <c r="A43" s="120" t="s">
        <v>116</v>
      </c>
      <c r="B43" s="52">
        <v>0</v>
      </c>
      <c r="C43" s="47">
        <v>0</v>
      </c>
      <c r="D43" s="80"/>
      <c r="E43" s="50"/>
      <c r="F43" s="80"/>
      <c r="G43" s="80"/>
      <c r="H43" s="85"/>
      <c r="I43" s="88"/>
      <c r="J43" s="86"/>
      <c r="K43" s="46">
        <f>SUM(B43:I43)</f>
        <v>0</v>
      </c>
      <c r="L43" s="75"/>
      <c r="M43" s="182"/>
      <c r="N43" s="88"/>
      <c r="O43" s="87"/>
      <c r="P43" s="47">
        <v>24000</v>
      </c>
      <c r="Q43" s="88"/>
      <c r="R43" s="89"/>
      <c r="S43" s="89"/>
      <c r="T43" s="81"/>
      <c r="U43" s="82">
        <v>25000</v>
      </c>
      <c r="V43" s="80"/>
      <c r="W43" s="85"/>
      <c r="X43" s="52">
        <f>SUM(U43:W43,K43:S43)</f>
        <v>49000</v>
      </c>
      <c r="Y43" s="53">
        <f>SUM(X42:X45)</f>
        <v>2049000</v>
      </c>
      <c r="Z43" s="228">
        <v>2049000</v>
      </c>
      <c r="AA43" s="53"/>
      <c r="AB43" s="54"/>
      <c r="AC43" s="53"/>
      <c r="AD43" s="54"/>
      <c r="AE43" s="53"/>
      <c r="AF43" s="54"/>
      <c r="AG43" s="53"/>
      <c r="AH43" s="54"/>
    </row>
    <row r="44" spans="1:34" s="55" customFormat="1" ht="15" customHeight="1" x14ac:dyDescent="0.25">
      <c r="A44" s="120" t="s">
        <v>117</v>
      </c>
      <c r="B44" s="52">
        <v>0</v>
      </c>
      <c r="C44" s="47">
        <v>0</v>
      </c>
      <c r="D44" s="80"/>
      <c r="E44" s="50"/>
      <c r="F44" s="80"/>
      <c r="G44" s="80"/>
      <c r="H44" s="85"/>
      <c r="I44" s="88"/>
      <c r="J44" s="86"/>
      <c r="K44" s="46">
        <f t="shared" si="16"/>
        <v>0</v>
      </c>
      <c r="L44" s="75"/>
      <c r="M44" s="50"/>
      <c r="N44" s="88"/>
      <c r="O44" s="87">
        <v>100000</v>
      </c>
      <c r="P44" s="82">
        <v>100000</v>
      </c>
      <c r="Q44" s="88">
        <v>200000</v>
      </c>
      <c r="R44" s="89">
        <v>178000</v>
      </c>
      <c r="S44" s="88">
        <f>75000+1850</f>
        <v>76850</v>
      </c>
      <c r="T44" s="128">
        <f>SUM(O44:S44)</f>
        <v>654850</v>
      </c>
      <c r="U44" s="55">
        <f>22000-1850</f>
        <v>20150</v>
      </c>
      <c r="W44" s="47"/>
      <c r="X44" s="52">
        <f t="shared" si="15"/>
        <v>675000</v>
      </c>
      <c r="Z44" s="54">
        <f>SUM(Z43-Y43)</f>
        <v>0</v>
      </c>
      <c r="AA44" s="53"/>
      <c r="AB44" s="54"/>
      <c r="AC44" s="53"/>
      <c r="AD44" s="54"/>
      <c r="AE44" s="53"/>
      <c r="AF44" s="54"/>
      <c r="AG44" s="53"/>
      <c r="AH44" s="54"/>
    </row>
    <row r="45" spans="1:34" s="55" customFormat="1" ht="15" customHeight="1" x14ac:dyDescent="0.25">
      <c r="A45" s="120" t="s">
        <v>114</v>
      </c>
      <c r="B45" s="52"/>
      <c r="C45" s="47"/>
      <c r="D45" s="80"/>
      <c r="E45" s="50"/>
      <c r="F45" s="80"/>
      <c r="G45" s="80"/>
      <c r="H45" s="85"/>
      <c r="I45" s="88"/>
      <c r="J45" s="86"/>
      <c r="K45" s="46"/>
      <c r="L45" s="75"/>
      <c r="M45" s="50"/>
      <c r="N45" s="88"/>
      <c r="O45" s="87">
        <v>100000</v>
      </c>
      <c r="P45" s="82">
        <v>100000</v>
      </c>
      <c r="Q45" s="88">
        <v>100000</v>
      </c>
      <c r="R45" s="89">
        <v>100000</v>
      </c>
      <c r="S45" s="56">
        <v>375000</v>
      </c>
      <c r="T45" s="52"/>
      <c r="U45" s="47">
        <v>200000</v>
      </c>
      <c r="V45" s="50">
        <v>200000</v>
      </c>
      <c r="W45" s="60"/>
      <c r="X45" s="52">
        <f t="shared" si="15"/>
        <v>1175000</v>
      </c>
      <c r="Y45" s="55">
        <f>SUM(X44:X45)</f>
        <v>1850000</v>
      </c>
      <c r="Z45" s="54"/>
      <c r="AA45" s="53"/>
      <c r="AB45" s="54"/>
      <c r="AC45" s="53"/>
      <c r="AD45" s="54"/>
      <c r="AE45" s="53"/>
      <c r="AF45" s="54"/>
      <c r="AG45" s="53"/>
      <c r="AH45" s="54"/>
    </row>
    <row r="46" spans="1:34" s="55" customFormat="1" ht="15" customHeight="1" x14ac:dyDescent="0.25">
      <c r="A46" s="120" t="s">
        <v>77</v>
      </c>
      <c r="B46" s="52">
        <v>0</v>
      </c>
      <c r="C46" s="47">
        <v>0</v>
      </c>
      <c r="D46" s="80"/>
      <c r="E46" s="50"/>
      <c r="F46" s="80"/>
      <c r="G46" s="80"/>
      <c r="H46" s="85"/>
      <c r="I46" s="88"/>
      <c r="J46" s="86"/>
      <c r="K46" s="46">
        <f t="shared" si="16"/>
        <v>0</v>
      </c>
      <c r="L46" s="75"/>
      <c r="M46" s="182">
        <v>15000</v>
      </c>
      <c r="N46" s="88"/>
      <c r="O46" s="87"/>
      <c r="P46" s="82"/>
      <c r="Q46" s="88">
        <v>20000</v>
      </c>
      <c r="R46" s="89">
        <v>12500</v>
      </c>
      <c r="S46" s="89">
        <v>2500</v>
      </c>
      <c r="T46" s="81"/>
      <c r="U46" s="82"/>
      <c r="V46" s="80">
        <v>10000</v>
      </c>
      <c r="W46" s="85">
        <v>10000</v>
      </c>
      <c r="X46" s="52">
        <f t="shared" si="15"/>
        <v>70000</v>
      </c>
      <c r="Y46" s="53"/>
      <c r="Z46" s="54"/>
      <c r="AA46" s="53"/>
      <c r="AB46" s="54"/>
      <c r="AC46" s="53"/>
      <c r="AD46" s="54"/>
      <c r="AE46" s="53"/>
      <c r="AF46" s="54"/>
      <c r="AG46" s="53"/>
      <c r="AH46" s="54"/>
    </row>
    <row r="47" spans="1:34" s="55" customFormat="1" ht="15" customHeight="1" x14ac:dyDescent="0.25">
      <c r="A47" s="120" t="s">
        <v>49</v>
      </c>
      <c r="B47" s="52">
        <v>0</v>
      </c>
      <c r="C47" s="47">
        <v>0</v>
      </c>
      <c r="D47" s="80"/>
      <c r="E47" s="50"/>
      <c r="F47" s="80"/>
      <c r="G47" s="80"/>
      <c r="H47" s="85"/>
      <c r="I47" s="88"/>
      <c r="J47" s="86"/>
      <c r="K47" s="46">
        <f t="shared" si="16"/>
        <v>0</v>
      </c>
      <c r="L47" s="75"/>
      <c r="M47" s="182"/>
      <c r="N47" s="88"/>
      <c r="O47" s="87"/>
      <c r="P47" s="82">
        <v>20000</v>
      </c>
      <c r="Q47" s="89">
        <v>5000</v>
      </c>
      <c r="R47" s="89"/>
      <c r="S47" s="89"/>
      <c r="T47" s="81"/>
      <c r="U47" s="82"/>
      <c r="V47" s="80"/>
      <c r="W47" s="77">
        <v>5000</v>
      </c>
      <c r="X47" s="52">
        <f t="shared" si="15"/>
        <v>30000</v>
      </c>
      <c r="Y47" s="53">
        <f>SUM(X46:X47)</f>
        <v>100000</v>
      </c>
      <c r="Z47" s="54"/>
      <c r="AA47" s="53"/>
      <c r="AB47" s="54"/>
      <c r="AC47" s="53"/>
      <c r="AD47" s="54"/>
      <c r="AE47" s="53"/>
      <c r="AF47" s="54"/>
      <c r="AG47" s="53"/>
      <c r="AH47" s="54"/>
    </row>
    <row r="48" spans="1:34" s="55" customFormat="1" ht="15" customHeight="1" x14ac:dyDescent="0.25">
      <c r="A48" s="120" t="s">
        <v>51</v>
      </c>
      <c r="B48" s="128">
        <v>0</v>
      </c>
      <c r="C48" s="47">
        <v>0</v>
      </c>
      <c r="D48" s="80"/>
      <c r="E48" s="50"/>
      <c r="F48" s="80">
        <v>0</v>
      </c>
      <c r="G48" s="80"/>
      <c r="H48" s="85"/>
      <c r="I48" s="88"/>
      <c r="J48" s="86"/>
      <c r="K48" s="46">
        <f t="shared" si="16"/>
        <v>0</v>
      </c>
      <c r="L48" s="75"/>
      <c r="M48" s="182"/>
      <c r="N48" s="88"/>
      <c r="O48" s="87">
        <v>10000</v>
      </c>
      <c r="P48" s="82">
        <v>10000</v>
      </c>
      <c r="Q48" s="82">
        <v>5000</v>
      </c>
      <c r="R48" s="82">
        <v>5000</v>
      </c>
      <c r="S48" s="85">
        <v>10000</v>
      </c>
      <c r="T48" s="81">
        <f>SUM(O48:S48)</f>
        <v>40000</v>
      </c>
      <c r="U48" s="82">
        <v>5000</v>
      </c>
      <c r="V48" s="82">
        <v>5000</v>
      </c>
      <c r="W48" s="82"/>
      <c r="X48" s="52">
        <f t="shared" si="15"/>
        <v>50000</v>
      </c>
      <c r="Y48" s="53"/>
      <c r="Z48" s="54"/>
      <c r="AA48" s="53"/>
      <c r="AB48" s="54"/>
      <c r="AC48" s="53"/>
      <c r="AD48" s="54"/>
      <c r="AE48" s="53"/>
      <c r="AF48" s="54"/>
      <c r="AG48" s="53"/>
      <c r="AH48" s="54"/>
    </row>
    <row r="49" spans="1:35" s="55" customFormat="1" ht="15" customHeight="1" x14ac:dyDescent="0.25">
      <c r="A49" s="120" t="s">
        <v>52</v>
      </c>
      <c r="B49" s="128">
        <v>0</v>
      </c>
      <c r="C49" s="47">
        <v>0</v>
      </c>
      <c r="D49" s="80"/>
      <c r="E49" s="50"/>
      <c r="F49" s="80">
        <v>0</v>
      </c>
      <c r="G49" s="80"/>
      <c r="H49" s="85"/>
      <c r="I49" s="88"/>
      <c r="J49" s="86"/>
      <c r="K49" s="46">
        <f t="shared" si="16"/>
        <v>0</v>
      </c>
      <c r="L49" s="75"/>
      <c r="M49" s="182"/>
      <c r="N49" s="88"/>
      <c r="O49" s="87">
        <v>40000</v>
      </c>
      <c r="P49" s="47">
        <f>27000+43000</f>
        <v>70000</v>
      </c>
      <c r="Q49" s="50">
        <v>24000</v>
      </c>
      <c r="R49" s="77">
        <f>23000+28000</f>
        <v>51000</v>
      </c>
      <c r="S49" s="89">
        <f>15000+25000</f>
        <v>40000</v>
      </c>
      <c r="T49" s="81">
        <f>SUM(O49:S49)</f>
        <v>225000</v>
      </c>
      <c r="U49" s="82"/>
      <c r="V49" s="80"/>
      <c r="W49" s="85"/>
      <c r="X49" s="52">
        <f t="shared" si="15"/>
        <v>225000</v>
      </c>
      <c r="Y49" s="53">
        <f>SUM(X48:X49)</f>
        <v>275000</v>
      </c>
      <c r="Z49" s="54"/>
      <c r="AA49" s="53"/>
      <c r="AB49" s="54"/>
      <c r="AC49" s="53"/>
      <c r="AD49" s="54"/>
      <c r="AE49" s="53"/>
      <c r="AF49" s="54"/>
      <c r="AG49" s="53"/>
      <c r="AH49" s="54"/>
    </row>
    <row r="50" spans="1:35" s="55" customFormat="1" ht="15" customHeight="1" x14ac:dyDescent="0.25">
      <c r="A50" s="120" t="s">
        <v>55</v>
      </c>
      <c r="B50" s="52">
        <v>0</v>
      </c>
      <c r="C50" s="47">
        <v>0</v>
      </c>
      <c r="D50" s="80"/>
      <c r="E50" s="48"/>
      <c r="F50" s="80"/>
      <c r="G50" s="80"/>
      <c r="H50" s="85"/>
      <c r="I50" s="56"/>
      <c r="J50" s="86"/>
      <c r="K50" s="46">
        <f t="shared" si="16"/>
        <v>0</v>
      </c>
      <c r="L50" s="75"/>
      <c r="M50" s="182"/>
      <c r="N50" s="56">
        <v>75000</v>
      </c>
      <c r="O50" s="86">
        <v>25000</v>
      </c>
      <c r="P50" s="82">
        <v>50000</v>
      </c>
      <c r="Q50" s="56">
        <v>25000</v>
      </c>
      <c r="R50" s="89">
        <v>50000</v>
      </c>
      <c r="S50" s="89">
        <v>25000</v>
      </c>
      <c r="T50" s="81">
        <f>SUM(N50:S50)/2</f>
        <v>125000</v>
      </c>
      <c r="U50" s="82">
        <v>25000</v>
      </c>
      <c r="V50" s="80">
        <v>5000</v>
      </c>
      <c r="W50" s="85">
        <v>3000</v>
      </c>
      <c r="X50" s="52">
        <f t="shared" si="15"/>
        <v>283000</v>
      </c>
      <c r="Y50" s="53">
        <f>+X50</f>
        <v>283000</v>
      </c>
      <c r="Z50" s="54"/>
      <c r="AA50" s="53"/>
      <c r="AB50" s="54"/>
      <c r="AC50" s="53"/>
      <c r="AD50" s="54"/>
      <c r="AE50" s="53"/>
      <c r="AF50" s="54"/>
      <c r="AG50" s="53"/>
      <c r="AH50" s="54"/>
    </row>
    <row r="51" spans="1:35" s="55" customFormat="1" ht="15" customHeight="1" thickBot="1" x14ac:dyDescent="0.3">
      <c r="A51" s="120" t="s">
        <v>56</v>
      </c>
      <c r="B51" s="52">
        <v>0</v>
      </c>
      <c r="C51" s="47">
        <v>0</v>
      </c>
      <c r="D51" s="48">
        <v>0</v>
      </c>
      <c r="E51" s="48">
        <v>0</v>
      </c>
      <c r="F51" s="48">
        <v>0</v>
      </c>
      <c r="G51" s="48">
        <v>0</v>
      </c>
      <c r="H51" s="60"/>
      <c r="I51" s="56">
        <v>0</v>
      </c>
      <c r="J51" s="226"/>
      <c r="K51" s="46">
        <f t="shared" si="16"/>
        <v>0</v>
      </c>
      <c r="L51" s="75"/>
      <c r="M51" s="198">
        <f>0.05*M10</f>
        <v>0</v>
      </c>
      <c r="N51" s="199">
        <f>0.05*N11</f>
        <v>0</v>
      </c>
      <c r="O51" s="168">
        <f>0.05*O11</f>
        <v>0</v>
      </c>
      <c r="P51" s="189">
        <f>0.05*P11</f>
        <v>0</v>
      </c>
      <c r="Q51" s="189">
        <f>0.05*Q13</f>
        <v>55000</v>
      </c>
      <c r="R51" s="189">
        <f t="shared" ref="R51:W51" si="17">0.05*R13</f>
        <v>55000</v>
      </c>
      <c r="S51" s="53">
        <f t="shared" si="17"/>
        <v>20750</v>
      </c>
      <c r="T51" s="216"/>
      <c r="U51" s="189">
        <f t="shared" si="17"/>
        <v>54250</v>
      </c>
      <c r="V51" s="189">
        <f t="shared" si="17"/>
        <v>27300</v>
      </c>
      <c r="W51" s="189">
        <f t="shared" si="17"/>
        <v>27250</v>
      </c>
      <c r="X51" s="52">
        <f t="shared" si="15"/>
        <v>239550</v>
      </c>
      <c r="Y51" s="53">
        <f>+X51</f>
        <v>239550</v>
      </c>
      <c r="Z51" s="54"/>
      <c r="AA51" s="53"/>
      <c r="AB51" s="54"/>
      <c r="AC51" s="53"/>
      <c r="AD51" s="54"/>
      <c r="AE51" s="53"/>
      <c r="AF51" s="54"/>
      <c r="AG51" s="53"/>
      <c r="AH51" s="54"/>
    </row>
    <row r="52" spans="1:35" s="55" customFormat="1" ht="15" customHeight="1" thickBot="1" x14ac:dyDescent="0.3">
      <c r="A52" s="92" t="s">
        <v>57</v>
      </c>
      <c r="B52" s="200">
        <f t="shared" ref="B52:X52" si="18">SUM(B26:B51)</f>
        <v>20740</v>
      </c>
      <c r="C52" s="200">
        <f t="shared" si="18"/>
        <v>0</v>
      </c>
      <c r="D52" s="200">
        <f t="shared" si="18"/>
        <v>23240</v>
      </c>
      <c r="E52" s="200">
        <f t="shared" si="18"/>
        <v>7000</v>
      </c>
      <c r="F52" s="200">
        <f t="shared" si="18"/>
        <v>6100</v>
      </c>
      <c r="G52" s="200">
        <f t="shared" si="18"/>
        <v>16800</v>
      </c>
      <c r="H52" s="200">
        <f t="shared" si="18"/>
        <v>20000</v>
      </c>
      <c r="I52" s="201">
        <f>SUM(I26:I51)</f>
        <v>13500</v>
      </c>
      <c r="J52" s="200"/>
      <c r="K52" s="200">
        <f>SUM(K26:K51)</f>
        <v>102366</v>
      </c>
      <c r="L52" s="200">
        <f>SUM(L26:L51)</f>
        <v>5000</v>
      </c>
      <c r="M52" s="200">
        <f t="shared" si="18"/>
        <v>23600</v>
      </c>
      <c r="N52" s="201">
        <f t="shared" si="18"/>
        <v>185000</v>
      </c>
      <c r="O52" s="202">
        <f t="shared" si="18"/>
        <v>486000</v>
      </c>
      <c r="P52" s="203">
        <f t="shared" si="18"/>
        <v>397500</v>
      </c>
      <c r="Q52" s="201">
        <f t="shared" si="18"/>
        <v>498900</v>
      </c>
      <c r="R52" s="201">
        <f t="shared" si="18"/>
        <v>491000</v>
      </c>
      <c r="S52" s="202">
        <f t="shared" si="18"/>
        <v>555100</v>
      </c>
      <c r="T52" s="229">
        <f>SUM(T26:T51)</f>
        <v>1260850</v>
      </c>
      <c r="U52" s="204">
        <f t="shared" si="18"/>
        <v>330900</v>
      </c>
      <c r="V52" s="200">
        <f t="shared" si="18"/>
        <v>247300</v>
      </c>
      <c r="W52" s="205">
        <f t="shared" si="18"/>
        <v>45250</v>
      </c>
      <c r="X52" s="206">
        <f t="shared" si="18"/>
        <v>3367916</v>
      </c>
      <c r="Y52" s="53"/>
      <c r="Z52" s="54"/>
      <c r="AA52" s="53"/>
      <c r="AB52" s="54"/>
      <c r="AC52" s="53"/>
      <c r="AD52" s="54"/>
      <c r="AE52" s="53"/>
      <c r="AF52" s="54"/>
      <c r="AG52" s="53"/>
      <c r="AH52" s="54"/>
      <c r="AI52" s="54"/>
    </row>
    <row r="53" spans="1:35" s="55" customFormat="1" ht="15" customHeight="1" thickBot="1" x14ac:dyDescent="0.3">
      <c r="A53" s="138" t="s">
        <v>71</v>
      </c>
      <c r="B53" s="130"/>
      <c r="C53" s="103"/>
      <c r="D53" s="101"/>
      <c r="E53" s="101"/>
      <c r="F53" s="101"/>
      <c r="G53" s="101"/>
      <c r="H53" s="105"/>
      <c r="I53" s="100"/>
      <c r="J53" s="104"/>
      <c r="K53" s="102"/>
      <c r="L53" s="75"/>
      <c r="M53" s="88"/>
      <c r="N53" s="105"/>
      <c r="O53" s="105"/>
      <c r="P53" s="105"/>
      <c r="Q53" s="105"/>
      <c r="R53" s="105"/>
      <c r="S53" s="105"/>
      <c r="T53" s="213"/>
      <c r="U53" s="105"/>
      <c r="V53" s="105"/>
      <c r="W53" s="105"/>
      <c r="X53" s="102"/>
      <c r="Y53" s="53"/>
      <c r="Z53" s="54"/>
      <c r="AA53" s="53"/>
      <c r="AB53" s="54"/>
      <c r="AC53" s="53"/>
      <c r="AD53" s="54"/>
      <c r="AE53" s="53"/>
      <c r="AF53" s="54"/>
      <c r="AG53" s="53"/>
      <c r="AH53" s="54"/>
      <c r="AI53" s="54"/>
    </row>
    <row r="54" spans="1:35" s="55" customFormat="1" ht="15" customHeight="1" x14ac:dyDescent="0.25">
      <c r="A54" s="119" t="s">
        <v>32</v>
      </c>
      <c r="B54" s="52"/>
      <c r="C54" s="84"/>
      <c r="D54" s="80">
        <v>1000</v>
      </c>
      <c r="E54" s="48">
        <v>6000</v>
      </c>
      <c r="F54" s="80">
        <v>6000</v>
      </c>
      <c r="G54" s="80">
        <v>6000</v>
      </c>
      <c r="H54" s="60">
        <v>0</v>
      </c>
      <c r="I54" s="56"/>
      <c r="J54" s="86"/>
      <c r="K54" s="81">
        <f>SUM(B54:I54)</f>
        <v>19000</v>
      </c>
      <c r="L54" s="75">
        <v>0</v>
      </c>
      <c r="M54" s="50">
        <v>6000</v>
      </c>
      <c r="N54" s="56">
        <v>10000</v>
      </c>
      <c r="O54" s="86">
        <v>20000</v>
      </c>
      <c r="P54" s="56">
        <v>20000</v>
      </c>
      <c r="Q54" s="56">
        <v>20000</v>
      </c>
      <c r="R54" s="56">
        <v>20000</v>
      </c>
      <c r="S54" s="56">
        <v>20000</v>
      </c>
      <c r="T54" s="130">
        <f>SUM(N54:S54)</f>
        <v>110000</v>
      </c>
      <c r="U54" s="60">
        <v>20000</v>
      </c>
      <c r="V54" s="56">
        <v>20000</v>
      </c>
      <c r="W54" s="56">
        <v>20000</v>
      </c>
      <c r="X54" s="52">
        <f t="shared" ref="X54:X66" si="19">SUM(U54:W54,K54:S54)</f>
        <v>195000</v>
      </c>
      <c r="Y54" s="53"/>
      <c r="Z54" s="54"/>
      <c r="AA54" s="53"/>
      <c r="AB54" s="54"/>
      <c r="AC54" s="53"/>
      <c r="AD54" s="54"/>
      <c r="AE54" s="53"/>
      <c r="AF54" s="54"/>
      <c r="AG54" s="53"/>
      <c r="AH54" s="54"/>
    </row>
    <row r="55" spans="1:35" s="55" customFormat="1" ht="15" customHeight="1" x14ac:dyDescent="0.25">
      <c r="A55" s="75" t="s">
        <v>33</v>
      </c>
      <c r="B55" s="128"/>
      <c r="C55" s="47"/>
      <c r="D55" s="80" t="str">
        <f>IF($C$9=0,"-",(C55*100)/$C$9)</f>
        <v>-</v>
      </c>
      <c r="E55" s="50"/>
      <c r="F55" s="80" t="str">
        <f>IF(E$9=0,"-",(E55*100)/E$9)</f>
        <v>-</v>
      </c>
      <c r="G55" s="80"/>
      <c r="H55" s="85"/>
      <c r="I55" s="88"/>
      <c r="J55" s="86"/>
      <c r="K55" s="81">
        <f t="shared" ref="K55:K66" si="20">SUM(B55:I55)</f>
        <v>0</v>
      </c>
      <c r="L55" s="75"/>
      <c r="M55" s="182" t="str">
        <f>IF(I$9=0,"-",(I55*100)/I$9)</f>
        <v>-</v>
      </c>
      <c r="N55" s="88">
        <v>6500</v>
      </c>
      <c r="O55" s="86">
        <v>6500</v>
      </c>
      <c r="P55" s="88">
        <v>6500</v>
      </c>
      <c r="Q55" s="88">
        <v>6500</v>
      </c>
      <c r="R55" s="88">
        <v>6500</v>
      </c>
      <c r="S55" s="56">
        <v>6500</v>
      </c>
      <c r="T55" s="52">
        <f>SUM(N55:S55)</f>
        <v>39000</v>
      </c>
      <c r="U55" s="77">
        <v>6500</v>
      </c>
      <c r="V55" s="88">
        <v>6500</v>
      </c>
      <c r="W55" s="88">
        <v>6500</v>
      </c>
      <c r="X55" s="52">
        <f t="shared" si="19"/>
        <v>58500</v>
      </c>
      <c r="Y55" s="53"/>
      <c r="Z55" s="54"/>
      <c r="AA55" s="53"/>
      <c r="AB55" s="54"/>
      <c r="AC55" s="53"/>
      <c r="AD55" s="54"/>
      <c r="AE55" s="53"/>
      <c r="AF55" s="54"/>
      <c r="AG55" s="53"/>
      <c r="AH55" s="54"/>
    </row>
    <row r="56" spans="1:35" s="55" customFormat="1" ht="15" customHeight="1" x14ac:dyDescent="0.25">
      <c r="A56" s="75" t="s">
        <v>34</v>
      </c>
      <c r="B56" s="128">
        <v>1000</v>
      </c>
      <c r="C56" s="47">
        <v>250</v>
      </c>
      <c r="D56" s="50">
        <v>250</v>
      </c>
      <c r="E56" s="50">
        <v>250</v>
      </c>
      <c r="F56" s="50">
        <v>250</v>
      </c>
      <c r="G56" s="50">
        <v>250</v>
      </c>
      <c r="H56" s="60">
        <v>0</v>
      </c>
      <c r="I56" s="88">
        <v>0</v>
      </c>
      <c r="J56" s="86"/>
      <c r="K56" s="81">
        <f t="shared" si="20"/>
        <v>2250</v>
      </c>
      <c r="L56" s="75"/>
      <c r="M56" s="50">
        <v>250</v>
      </c>
      <c r="N56" s="88">
        <v>250</v>
      </c>
      <c r="O56" s="87">
        <v>250</v>
      </c>
      <c r="P56" s="47">
        <v>250</v>
      </c>
      <c r="Q56" s="88">
        <v>250</v>
      </c>
      <c r="R56" s="56"/>
      <c r="S56" s="56">
        <v>250</v>
      </c>
      <c r="T56" s="52">
        <f t="shared" ref="T56:T65" si="21">SUM(N56:S56)</f>
        <v>1250</v>
      </c>
      <c r="U56" s="77">
        <v>250</v>
      </c>
      <c r="V56" s="50">
        <v>250</v>
      </c>
      <c r="W56" s="60">
        <v>0</v>
      </c>
      <c r="X56" s="52">
        <f t="shared" si="19"/>
        <v>4250</v>
      </c>
      <c r="Y56" s="53"/>
      <c r="Z56" s="54"/>
      <c r="AA56" s="53"/>
      <c r="AB56" s="54"/>
      <c r="AC56" s="53"/>
      <c r="AD56" s="54"/>
      <c r="AE56" s="53"/>
      <c r="AF56" s="54"/>
      <c r="AG56" s="53"/>
      <c r="AH56" s="54"/>
    </row>
    <row r="57" spans="1:35" s="55" customFormat="1" ht="15" customHeight="1" x14ac:dyDescent="0.25">
      <c r="A57" s="75" t="s">
        <v>3</v>
      </c>
      <c r="B57" s="128"/>
      <c r="C57" s="47"/>
      <c r="D57" s="80"/>
      <c r="E57" s="50"/>
      <c r="F57" s="80"/>
      <c r="G57" s="80"/>
      <c r="H57" s="85"/>
      <c r="I57" s="88"/>
      <c r="J57" s="86"/>
      <c r="K57" s="81">
        <f t="shared" si="20"/>
        <v>0</v>
      </c>
      <c r="L57" s="75"/>
      <c r="M57" s="182"/>
      <c r="N57" s="88"/>
      <c r="P57" s="47">
        <v>2000</v>
      </c>
      <c r="Q57" s="88">
        <v>2000</v>
      </c>
      <c r="R57" s="56">
        <v>2000</v>
      </c>
      <c r="S57" s="56">
        <v>2000</v>
      </c>
      <c r="T57" s="52">
        <f t="shared" si="21"/>
        <v>8000</v>
      </c>
      <c r="U57" s="77">
        <v>2000</v>
      </c>
      <c r="V57" s="50">
        <v>2000</v>
      </c>
      <c r="W57" s="87">
        <v>2000</v>
      </c>
      <c r="X57" s="52">
        <f>SUM(U57:W57,K57:S57)</f>
        <v>14000</v>
      </c>
      <c r="Y57" s="53"/>
      <c r="Z57" s="54"/>
      <c r="AA57" s="53"/>
      <c r="AB57" s="54"/>
      <c r="AC57" s="53"/>
      <c r="AD57" s="54"/>
      <c r="AE57" s="53"/>
      <c r="AF57" s="54"/>
      <c r="AG57" s="53"/>
      <c r="AH57" s="54"/>
    </row>
    <row r="58" spans="1:35" s="55" customFormat="1" ht="15" customHeight="1" x14ac:dyDescent="0.25">
      <c r="A58" s="75" t="s">
        <v>35</v>
      </c>
      <c r="B58" s="128">
        <v>1000</v>
      </c>
      <c r="C58" s="47">
        <v>500</v>
      </c>
      <c r="D58" s="80">
        <v>500</v>
      </c>
      <c r="E58" s="50">
        <v>500</v>
      </c>
      <c r="F58" s="50">
        <v>500</v>
      </c>
      <c r="G58" s="50">
        <v>500</v>
      </c>
      <c r="H58" s="60"/>
      <c r="I58" s="88">
        <v>200</v>
      </c>
      <c r="J58" s="86"/>
      <c r="K58" s="81">
        <f t="shared" si="20"/>
        <v>3700</v>
      </c>
      <c r="L58" s="75"/>
      <c r="M58" s="50">
        <v>500</v>
      </c>
      <c r="N58" s="88">
        <v>500</v>
      </c>
      <c r="O58" s="87">
        <v>500</v>
      </c>
      <c r="P58" s="47">
        <v>500</v>
      </c>
      <c r="Q58" s="88">
        <v>500</v>
      </c>
      <c r="R58" s="56">
        <v>300</v>
      </c>
      <c r="S58" s="56">
        <v>0</v>
      </c>
      <c r="T58" s="52">
        <f t="shared" si="21"/>
        <v>2300</v>
      </c>
      <c r="U58" s="77">
        <v>0</v>
      </c>
      <c r="V58" s="50">
        <v>0</v>
      </c>
      <c r="W58" s="60">
        <v>0</v>
      </c>
      <c r="X58" s="52">
        <f t="shared" si="19"/>
        <v>6500</v>
      </c>
      <c r="Y58" s="53"/>
      <c r="Z58" s="54"/>
      <c r="AA58" s="53"/>
      <c r="AB58" s="54"/>
      <c r="AC58" s="53"/>
      <c r="AD58" s="54"/>
      <c r="AE58" s="53"/>
      <c r="AF58" s="54"/>
      <c r="AG58" s="53"/>
      <c r="AH58" s="54"/>
    </row>
    <row r="59" spans="1:35" s="55" customFormat="1" ht="15" customHeight="1" x14ac:dyDescent="0.25">
      <c r="A59" s="75" t="s">
        <v>36</v>
      </c>
      <c r="B59" s="128">
        <v>1000</v>
      </c>
      <c r="C59" s="47"/>
      <c r="D59" s="80"/>
      <c r="E59" s="50">
        <v>800</v>
      </c>
      <c r="F59" s="80">
        <v>500</v>
      </c>
      <c r="G59" s="80">
        <v>1800</v>
      </c>
      <c r="H59" s="60"/>
      <c r="I59" s="88">
        <v>0</v>
      </c>
      <c r="J59" s="86"/>
      <c r="K59" s="81">
        <f t="shared" si="20"/>
        <v>4100</v>
      </c>
      <c r="L59" s="75"/>
      <c r="M59" s="182">
        <v>1500</v>
      </c>
      <c r="N59" s="88">
        <v>1500</v>
      </c>
      <c r="O59" s="87">
        <v>800</v>
      </c>
      <c r="P59" s="82">
        <v>1600</v>
      </c>
      <c r="Q59" s="88">
        <v>0</v>
      </c>
      <c r="R59" s="56">
        <v>0</v>
      </c>
      <c r="S59" s="56">
        <v>0</v>
      </c>
      <c r="T59" s="52">
        <f t="shared" si="21"/>
        <v>3900</v>
      </c>
      <c r="U59" s="77">
        <v>0</v>
      </c>
      <c r="V59" s="50">
        <v>0</v>
      </c>
      <c r="W59" s="60">
        <v>1600</v>
      </c>
      <c r="X59" s="52">
        <f t="shared" si="19"/>
        <v>11100</v>
      </c>
      <c r="Y59" s="53"/>
      <c r="Z59" s="54"/>
      <c r="AA59" s="53"/>
      <c r="AB59" s="54"/>
      <c r="AC59" s="53"/>
      <c r="AD59" s="54"/>
      <c r="AE59" s="53"/>
      <c r="AF59" s="54"/>
      <c r="AG59" s="53"/>
      <c r="AH59" s="54"/>
    </row>
    <row r="60" spans="1:35" s="55" customFormat="1" ht="15" customHeight="1" x14ac:dyDescent="0.25">
      <c r="A60" s="75" t="s">
        <v>37</v>
      </c>
      <c r="B60" s="128"/>
      <c r="C60" s="47">
        <v>100</v>
      </c>
      <c r="D60" s="80">
        <v>300</v>
      </c>
      <c r="E60" s="50">
        <v>300</v>
      </c>
      <c r="F60" s="80">
        <v>300</v>
      </c>
      <c r="G60" s="80">
        <v>300</v>
      </c>
      <c r="H60" s="85"/>
      <c r="I60" s="89">
        <v>300</v>
      </c>
      <c r="J60" s="83"/>
      <c r="K60" s="81">
        <f t="shared" si="20"/>
        <v>1600</v>
      </c>
      <c r="L60" s="75"/>
      <c r="M60" s="182">
        <v>300</v>
      </c>
      <c r="N60" s="89">
        <v>300</v>
      </c>
      <c r="O60" s="83">
        <v>300</v>
      </c>
      <c r="P60" s="82">
        <v>300</v>
      </c>
      <c r="Q60" s="89">
        <v>300</v>
      </c>
      <c r="R60" s="56">
        <v>300</v>
      </c>
      <c r="S60" s="56">
        <v>300</v>
      </c>
      <c r="T60" s="52">
        <f t="shared" si="21"/>
        <v>1800</v>
      </c>
      <c r="U60" s="77">
        <v>300</v>
      </c>
      <c r="V60" s="50">
        <v>300</v>
      </c>
      <c r="W60" s="60">
        <v>0</v>
      </c>
      <c r="X60" s="52">
        <f t="shared" si="19"/>
        <v>4300</v>
      </c>
      <c r="Y60" s="53"/>
      <c r="Z60" s="54"/>
      <c r="AA60" s="53"/>
      <c r="AB60" s="54"/>
      <c r="AC60" s="53"/>
      <c r="AD60" s="54"/>
      <c r="AE60" s="53"/>
      <c r="AF60" s="54"/>
      <c r="AG60" s="53"/>
      <c r="AH60" s="54"/>
    </row>
    <row r="61" spans="1:35" s="55" customFormat="1" ht="15" customHeight="1" x14ac:dyDescent="0.25">
      <c r="A61" s="75" t="s">
        <v>4</v>
      </c>
      <c r="B61" s="128">
        <v>500</v>
      </c>
      <c r="C61" s="47">
        <v>300</v>
      </c>
      <c r="D61" s="50">
        <v>300</v>
      </c>
      <c r="E61" s="50">
        <v>300</v>
      </c>
      <c r="F61" s="50">
        <v>300</v>
      </c>
      <c r="G61" s="50">
        <v>300</v>
      </c>
      <c r="H61" s="60"/>
      <c r="I61" s="88">
        <v>300</v>
      </c>
      <c r="J61" s="86"/>
      <c r="K61" s="81">
        <f t="shared" si="20"/>
        <v>2300</v>
      </c>
      <c r="L61" s="75"/>
      <c r="M61" s="50">
        <v>300</v>
      </c>
      <c r="N61" s="88">
        <v>300</v>
      </c>
      <c r="O61" s="87">
        <v>300</v>
      </c>
      <c r="P61" s="47">
        <v>300</v>
      </c>
      <c r="Q61" s="88">
        <v>300</v>
      </c>
      <c r="R61" s="56"/>
      <c r="S61" s="56">
        <v>300</v>
      </c>
      <c r="T61" s="52">
        <f t="shared" si="21"/>
        <v>1500</v>
      </c>
      <c r="U61" s="77">
        <v>300</v>
      </c>
      <c r="V61" s="50">
        <v>300</v>
      </c>
      <c r="W61" s="60">
        <v>0</v>
      </c>
      <c r="X61" s="52">
        <f t="shared" si="19"/>
        <v>4700</v>
      </c>
      <c r="Y61" s="53"/>
      <c r="Z61" s="54"/>
      <c r="AA61" s="53"/>
      <c r="AB61" s="54"/>
      <c r="AC61" s="53"/>
      <c r="AD61" s="54"/>
      <c r="AE61" s="53"/>
      <c r="AF61" s="54"/>
      <c r="AG61" s="53"/>
      <c r="AH61" s="54"/>
    </row>
    <row r="62" spans="1:35" s="55" customFormat="1" ht="15" customHeight="1" x14ac:dyDescent="0.25">
      <c r="A62" s="75" t="s">
        <v>5</v>
      </c>
      <c r="B62" s="128">
        <v>500</v>
      </c>
      <c r="C62" s="47">
        <v>120</v>
      </c>
      <c r="D62" s="50">
        <v>120</v>
      </c>
      <c r="E62" s="50">
        <v>120</v>
      </c>
      <c r="F62" s="50">
        <v>120</v>
      </c>
      <c r="G62" s="50">
        <v>120</v>
      </c>
      <c r="H62" s="60"/>
      <c r="I62" s="88">
        <v>120</v>
      </c>
      <c r="J62" s="86"/>
      <c r="K62" s="81">
        <f t="shared" si="20"/>
        <v>1220</v>
      </c>
      <c r="L62" s="75"/>
      <c r="M62" s="182">
        <v>0</v>
      </c>
      <c r="N62" s="88">
        <v>0</v>
      </c>
      <c r="O62" s="87">
        <v>0</v>
      </c>
      <c r="P62" s="47">
        <v>0</v>
      </c>
      <c r="Q62" s="88">
        <v>0</v>
      </c>
      <c r="R62" s="56">
        <v>100</v>
      </c>
      <c r="S62" s="56">
        <v>0</v>
      </c>
      <c r="T62" s="52">
        <f t="shared" si="21"/>
        <v>100</v>
      </c>
      <c r="U62" s="77">
        <v>0</v>
      </c>
      <c r="V62" s="50">
        <v>0</v>
      </c>
      <c r="W62" s="60">
        <v>0</v>
      </c>
      <c r="X62" s="52">
        <f t="shared" si="19"/>
        <v>1320</v>
      </c>
      <c r="Y62" s="53"/>
      <c r="Z62" s="54"/>
      <c r="AA62" s="53"/>
      <c r="AB62" s="54"/>
      <c r="AC62" s="53"/>
      <c r="AD62" s="54"/>
      <c r="AE62" s="53"/>
      <c r="AF62" s="54"/>
      <c r="AG62" s="53"/>
      <c r="AH62" s="54"/>
    </row>
    <row r="63" spans="1:35" s="55" customFormat="1" ht="15" customHeight="1" x14ac:dyDescent="0.25">
      <c r="A63" s="75" t="s">
        <v>6</v>
      </c>
      <c r="B63" s="128">
        <v>400</v>
      </c>
      <c r="C63" s="47">
        <v>100</v>
      </c>
      <c r="D63" s="50">
        <v>100</v>
      </c>
      <c r="E63" s="50">
        <v>100</v>
      </c>
      <c r="F63" s="50">
        <v>100</v>
      </c>
      <c r="G63" s="50">
        <v>100</v>
      </c>
      <c r="H63" s="60"/>
      <c r="I63" s="88">
        <v>100</v>
      </c>
      <c r="J63" s="86"/>
      <c r="K63" s="81">
        <f t="shared" si="20"/>
        <v>1000</v>
      </c>
      <c r="L63" s="75"/>
      <c r="M63" s="50">
        <v>300</v>
      </c>
      <c r="N63" s="88">
        <v>300</v>
      </c>
      <c r="O63" s="87">
        <v>300</v>
      </c>
      <c r="P63" s="47">
        <v>300</v>
      </c>
      <c r="Q63" s="88">
        <v>200</v>
      </c>
      <c r="R63" s="56">
        <v>200</v>
      </c>
      <c r="S63" s="56">
        <v>200</v>
      </c>
      <c r="T63" s="52">
        <f t="shared" si="21"/>
        <v>1500</v>
      </c>
      <c r="U63" s="77">
        <v>200</v>
      </c>
      <c r="V63" s="50">
        <v>200</v>
      </c>
      <c r="W63" s="60">
        <v>200</v>
      </c>
      <c r="X63" s="52">
        <f t="shared" si="19"/>
        <v>3400</v>
      </c>
      <c r="Y63" s="53"/>
      <c r="Z63" s="54"/>
      <c r="AA63" s="53"/>
      <c r="AB63" s="54"/>
      <c r="AC63" s="53"/>
      <c r="AD63" s="54"/>
      <c r="AE63" s="53"/>
      <c r="AF63" s="54"/>
      <c r="AG63" s="53"/>
      <c r="AH63" s="54"/>
    </row>
    <row r="64" spans="1:35" s="35" customFormat="1" ht="15" customHeight="1" x14ac:dyDescent="0.25">
      <c r="A64" s="122" t="s">
        <v>58</v>
      </c>
      <c r="B64" s="38">
        <v>1000</v>
      </c>
      <c r="C64" s="37">
        <v>1000</v>
      </c>
      <c r="D64" s="39">
        <v>1000</v>
      </c>
      <c r="E64" s="39">
        <v>1000</v>
      </c>
      <c r="F64" s="39">
        <v>1000</v>
      </c>
      <c r="G64" s="39">
        <v>1000</v>
      </c>
      <c r="H64" s="40">
        <v>0</v>
      </c>
      <c r="I64" s="67">
        <v>1000</v>
      </c>
      <c r="J64" s="174"/>
      <c r="K64" s="81">
        <f t="shared" si="20"/>
        <v>7000</v>
      </c>
      <c r="L64" s="180"/>
      <c r="M64" s="67"/>
      <c r="N64" s="67">
        <v>1000</v>
      </c>
      <c r="O64" s="49">
        <v>1000</v>
      </c>
      <c r="P64" s="37">
        <v>1000</v>
      </c>
      <c r="Q64" s="67">
        <v>1000</v>
      </c>
      <c r="R64" s="56">
        <v>1000</v>
      </c>
      <c r="S64" s="56">
        <v>1000</v>
      </c>
      <c r="T64" s="52">
        <f t="shared" si="21"/>
        <v>6000</v>
      </c>
      <c r="U64" s="77">
        <v>1000</v>
      </c>
      <c r="V64" s="50">
        <v>1000</v>
      </c>
      <c r="W64" s="39">
        <v>1000</v>
      </c>
      <c r="X64" s="52">
        <f>SUM(U64:W64,K64:S64)</f>
        <v>16000</v>
      </c>
    </row>
    <row r="65" spans="1:34" s="55" customFormat="1" ht="15" customHeight="1" x14ac:dyDescent="0.25">
      <c r="A65" s="75" t="s">
        <v>40</v>
      </c>
      <c r="B65" s="128"/>
      <c r="C65" s="47">
        <v>200</v>
      </c>
      <c r="D65" s="50"/>
      <c r="E65" s="50"/>
      <c r="F65" s="50">
        <v>200</v>
      </c>
      <c r="G65" s="50">
        <v>600</v>
      </c>
      <c r="H65" s="60">
        <v>0</v>
      </c>
      <c r="I65" s="88">
        <v>400</v>
      </c>
      <c r="J65" s="86"/>
      <c r="K65" s="81">
        <f t="shared" si="20"/>
        <v>1400</v>
      </c>
      <c r="L65" s="75"/>
      <c r="M65" s="67"/>
      <c r="N65" s="88">
        <v>600</v>
      </c>
      <c r="O65" s="87">
        <v>800</v>
      </c>
      <c r="P65" s="47">
        <v>600</v>
      </c>
      <c r="Q65" s="88">
        <v>600</v>
      </c>
      <c r="R65" s="56">
        <v>600</v>
      </c>
      <c r="S65" s="56">
        <v>600</v>
      </c>
      <c r="T65" s="52">
        <f t="shared" si="21"/>
        <v>3800</v>
      </c>
      <c r="U65" s="77">
        <v>600</v>
      </c>
      <c r="V65" s="50">
        <v>600</v>
      </c>
      <c r="W65" s="50">
        <v>600</v>
      </c>
      <c r="X65" s="52">
        <f>SUM(U65:W65,K65:S65)</f>
        <v>7000</v>
      </c>
      <c r="Y65" s="53"/>
      <c r="Z65" s="54"/>
      <c r="AA65" s="53"/>
      <c r="AB65" s="54"/>
      <c r="AC65" s="53"/>
      <c r="AD65" s="54"/>
      <c r="AE65" s="53"/>
      <c r="AF65" s="54"/>
      <c r="AG65" s="53"/>
      <c r="AH65" s="54"/>
    </row>
    <row r="66" spans="1:34" s="55" customFormat="1" ht="15" customHeight="1" thickBot="1" x14ac:dyDescent="0.3">
      <c r="A66" s="75" t="s">
        <v>39</v>
      </c>
      <c r="B66" s="128"/>
      <c r="C66" s="47">
        <v>5000</v>
      </c>
      <c r="D66" s="47">
        <v>5000</v>
      </c>
      <c r="E66" s="47">
        <v>5000</v>
      </c>
      <c r="F66" s="47">
        <v>5000</v>
      </c>
      <c r="G66" s="47">
        <v>5000</v>
      </c>
      <c r="H66" s="60">
        <v>0</v>
      </c>
      <c r="I66" s="88">
        <v>4000</v>
      </c>
      <c r="J66" s="86"/>
      <c r="K66" s="81">
        <f t="shared" si="20"/>
        <v>29000</v>
      </c>
      <c r="L66" s="75"/>
      <c r="M66" s="91">
        <v>4000</v>
      </c>
      <c r="N66" s="90">
        <v>2800</v>
      </c>
      <c r="O66" s="93">
        <v>2800</v>
      </c>
      <c r="P66" s="196">
        <v>2800</v>
      </c>
      <c r="Q66" s="91">
        <v>2800</v>
      </c>
      <c r="R66" s="196">
        <v>2800</v>
      </c>
      <c r="S66" s="90">
        <v>2800</v>
      </c>
      <c r="T66" s="129"/>
      <c r="U66" s="196">
        <v>2800</v>
      </c>
      <c r="V66" s="91">
        <v>2800</v>
      </c>
      <c r="W66" s="197">
        <v>2800</v>
      </c>
      <c r="X66" s="52">
        <f t="shared" si="19"/>
        <v>58200</v>
      </c>
      <c r="Y66" s="54"/>
      <c r="Z66" s="53"/>
      <c r="AA66" s="54"/>
      <c r="AB66" s="53"/>
      <c r="AC66" s="54"/>
      <c r="AD66" s="53"/>
      <c r="AE66" s="54"/>
      <c r="AF66" s="53"/>
      <c r="AG66" s="54"/>
    </row>
    <row r="67" spans="1:34" s="55" customFormat="1" ht="15" hidden="1" customHeight="1" x14ac:dyDescent="0.25">
      <c r="A67" s="75" t="s">
        <v>7</v>
      </c>
      <c r="B67" s="128"/>
      <c r="C67" s="47"/>
      <c r="D67" s="80"/>
      <c r="E67" s="50"/>
      <c r="F67" s="80"/>
      <c r="G67" s="80">
        <v>0</v>
      </c>
      <c r="H67" s="60"/>
      <c r="I67" s="88">
        <v>0</v>
      </c>
      <c r="J67" s="86"/>
      <c r="K67" s="81">
        <f>SUM(B67:G67)</f>
        <v>0</v>
      </c>
      <c r="L67" s="75"/>
      <c r="M67" s="48">
        <v>0</v>
      </c>
      <c r="N67" s="56">
        <v>0</v>
      </c>
      <c r="O67" s="86">
        <v>0</v>
      </c>
      <c r="P67" s="84">
        <v>0</v>
      </c>
      <c r="Q67" s="56">
        <v>0</v>
      </c>
      <c r="R67" s="56"/>
      <c r="S67" s="86"/>
      <c r="T67" s="60"/>
      <c r="U67" s="84"/>
      <c r="V67" s="48"/>
      <c r="W67" s="60"/>
      <c r="X67" s="52">
        <f t="shared" ref="X67:X71" si="22">SUM(K67:W67)</f>
        <v>0</v>
      </c>
      <c r="Y67" s="54"/>
      <c r="Z67" s="53"/>
      <c r="AA67" s="54"/>
      <c r="AB67" s="53"/>
      <c r="AC67" s="54"/>
      <c r="AD67" s="53"/>
      <c r="AE67" s="54"/>
      <c r="AF67" s="53"/>
      <c r="AG67" s="54"/>
    </row>
    <row r="68" spans="1:34" s="55" customFormat="1" ht="15" hidden="1" customHeight="1" x14ac:dyDescent="0.25">
      <c r="A68" s="75" t="s">
        <v>7</v>
      </c>
      <c r="B68" s="128"/>
      <c r="C68" s="47"/>
      <c r="D68" s="80"/>
      <c r="E68" s="50"/>
      <c r="F68" s="80"/>
      <c r="G68" s="80">
        <v>0</v>
      </c>
      <c r="H68" s="60"/>
      <c r="I68" s="88">
        <v>0</v>
      </c>
      <c r="J68" s="86"/>
      <c r="K68" s="81">
        <f>SUM(B68:G68)</f>
        <v>0</v>
      </c>
      <c r="L68" s="75"/>
      <c r="M68" s="50">
        <v>0</v>
      </c>
      <c r="N68" s="88">
        <v>0</v>
      </c>
      <c r="O68" s="87">
        <v>0</v>
      </c>
      <c r="P68" s="47">
        <v>0</v>
      </c>
      <c r="Q68" s="88">
        <v>0</v>
      </c>
      <c r="R68" s="56"/>
      <c r="S68" s="86"/>
      <c r="T68" s="60"/>
      <c r="U68" s="84"/>
      <c r="V68" s="48"/>
      <c r="W68" s="60"/>
      <c r="X68" s="52">
        <f t="shared" si="22"/>
        <v>0</v>
      </c>
      <c r="Y68" s="54"/>
      <c r="Z68" s="53"/>
      <c r="AA68" s="54"/>
      <c r="AB68" s="53"/>
      <c r="AC68" s="54"/>
      <c r="AD68" s="53"/>
      <c r="AE68" s="54"/>
      <c r="AF68" s="53"/>
      <c r="AG68" s="54"/>
    </row>
    <row r="69" spans="1:34" s="55" customFormat="1" ht="15" hidden="1" customHeight="1" x14ac:dyDescent="0.25">
      <c r="A69" s="75" t="s">
        <v>7</v>
      </c>
      <c r="B69" s="128"/>
      <c r="C69" s="47"/>
      <c r="D69" s="80"/>
      <c r="E69" s="50"/>
      <c r="F69" s="80"/>
      <c r="G69" s="80">
        <v>0</v>
      </c>
      <c r="H69" s="60"/>
      <c r="I69" s="88">
        <v>0</v>
      </c>
      <c r="J69" s="86"/>
      <c r="K69" s="81">
        <f>SUM(B69:G69)</f>
        <v>0</v>
      </c>
      <c r="L69" s="75"/>
      <c r="M69" s="50">
        <v>0</v>
      </c>
      <c r="N69" s="88">
        <v>0</v>
      </c>
      <c r="O69" s="87">
        <v>0</v>
      </c>
      <c r="P69" s="47">
        <v>0</v>
      </c>
      <c r="Q69" s="88">
        <v>0</v>
      </c>
      <c r="R69" s="56"/>
      <c r="S69" s="86"/>
      <c r="T69" s="60"/>
      <c r="U69" s="84"/>
      <c r="V69" s="48"/>
      <c r="W69" s="60"/>
      <c r="X69" s="52">
        <f t="shared" si="22"/>
        <v>0</v>
      </c>
      <c r="Y69" s="54"/>
      <c r="Z69" s="53"/>
      <c r="AA69" s="54"/>
      <c r="AB69" s="53"/>
      <c r="AC69" s="54"/>
      <c r="AD69" s="53"/>
      <c r="AE69" s="54"/>
      <c r="AF69" s="53"/>
      <c r="AG69" s="54"/>
    </row>
    <row r="70" spans="1:34" s="35" customFormat="1" ht="15" hidden="1" customHeight="1" x14ac:dyDescent="0.25">
      <c r="A70" s="122" t="s">
        <v>8</v>
      </c>
      <c r="B70" s="38"/>
      <c r="C70" s="37"/>
      <c r="D70" s="39"/>
      <c r="E70" s="39"/>
      <c r="F70" s="39"/>
      <c r="G70" s="39"/>
      <c r="H70" s="40"/>
      <c r="I70" s="67"/>
      <c r="J70" s="174"/>
      <c r="K70" s="81">
        <f>SUM(B70:G70)</f>
        <v>0</v>
      </c>
      <c r="L70" s="180"/>
      <c r="M70" s="39"/>
      <c r="N70" s="67"/>
      <c r="O70" s="49"/>
      <c r="P70" s="37"/>
      <c r="Q70" s="67"/>
      <c r="R70" s="56"/>
      <c r="S70" s="86"/>
      <c r="T70" s="60"/>
      <c r="U70" s="84"/>
      <c r="V70" s="48"/>
      <c r="W70" s="60"/>
      <c r="X70" s="52">
        <f t="shared" si="22"/>
        <v>0</v>
      </c>
    </row>
    <row r="71" spans="1:34" s="35" customFormat="1" ht="15" hidden="1" customHeight="1" x14ac:dyDescent="0.25">
      <c r="A71" s="122" t="s">
        <v>8</v>
      </c>
      <c r="B71" s="70"/>
      <c r="C71" s="71"/>
      <c r="D71" s="69"/>
      <c r="E71" s="69"/>
      <c r="F71" s="69"/>
      <c r="G71" s="69"/>
      <c r="H71" s="33"/>
      <c r="I71" s="68"/>
      <c r="J71" s="166"/>
      <c r="K71" s="209">
        <f>SUM(B71:G71)</f>
        <v>0</v>
      </c>
      <c r="L71" s="210"/>
      <c r="M71" s="39"/>
      <c r="N71" s="67"/>
      <c r="O71" s="49"/>
      <c r="P71" s="37"/>
      <c r="Q71" s="67"/>
      <c r="R71" s="56"/>
      <c r="S71" s="86"/>
      <c r="T71" s="60"/>
      <c r="U71" s="84"/>
      <c r="V71" s="48"/>
      <c r="W71" s="60"/>
      <c r="X71" s="52">
        <f t="shared" si="22"/>
        <v>0</v>
      </c>
    </row>
    <row r="72" spans="1:34" s="35" customFormat="1" ht="15" customHeight="1" thickBot="1" x14ac:dyDescent="0.3">
      <c r="A72" s="139" t="s">
        <v>78</v>
      </c>
      <c r="B72" s="161">
        <f t="shared" ref="B72:W72" si="23">SUM(B54:B71)</f>
        <v>5400</v>
      </c>
      <c r="C72" s="211">
        <f t="shared" si="23"/>
        <v>7570</v>
      </c>
      <c r="D72" s="211">
        <f t="shared" si="23"/>
        <v>8570</v>
      </c>
      <c r="E72" s="211">
        <f t="shared" si="23"/>
        <v>14370</v>
      </c>
      <c r="F72" s="211">
        <f t="shared" si="23"/>
        <v>14270</v>
      </c>
      <c r="G72" s="211">
        <f t="shared" si="23"/>
        <v>15970</v>
      </c>
      <c r="H72" s="211">
        <v>0</v>
      </c>
      <c r="I72" s="211">
        <f>SUM(I54:I71)</f>
        <v>6420</v>
      </c>
      <c r="J72" s="211"/>
      <c r="K72" s="211">
        <f>SUM(K54:K71)</f>
        <v>72570</v>
      </c>
      <c r="L72" s="212">
        <f>SUM(L54:L71)</f>
        <v>0</v>
      </c>
      <c r="M72" s="99">
        <f t="shared" si="23"/>
        <v>13150</v>
      </c>
      <c r="N72" s="99">
        <f t="shared" si="23"/>
        <v>24050</v>
      </c>
      <c r="O72" s="98">
        <f t="shared" si="23"/>
        <v>33550</v>
      </c>
      <c r="P72" s="116">
        <f t="shared" si="23"/>
        <v>36150</v>
      </c>
      <c r="Q72" s="99">
        <f t="shared" si="23"/>
        <v>34450</v>
      </c>
      <c r="R72" s="99">
        <f t="shared" si="23"/>
        <v>33800</v>
      </c>
      <c r="S72" s="98">
        <f t="shared" si="23"/>
        <v>33950</v>
      </c>
      <c r="T72" s="116">
        <f>SUM(T54:T65)</f>
        <v>179150</v>
      </c>
      <c r="U72" s="195">
        <f t="shared" si="23"/>
        <v>33950</v>
      </c>
      <c r="V72" s="194">
        <f t="shared" si="23"/>
        <v>33950</v>
      </c>
      <c r="W72" s="116">
        <f t="shared" si="23"/>
        <v>34700</v>
      </c>
      <c r="X72" s="97">
        <f>SUM(X54:X71)</f>
        <v>384270</v>
      </c>
      <c r="Y72" s="147">
        <f>SUM(X72,X52)</f>
        <v>3752186</v>
      </c>
      <c r="Z72" s="66" t="s">
        <v>97</v>
      </c>
    </row>
    <row r="73" spans="1:34" s="28" customFormat="1" ht="15" customHeight="1" x14ac:dyDescent="0.25">
      <c r="A73" s="121" t="s">
        <v>88</v>
      </c>
      <c r="B73" s="79"/>
      <c r="C73" s="22"/>
      <c r="D73" s="21"/>
      <c r="E73" s="20"/>
      <c r="F73" s="21"/>
      <c r="G73" s="21"/>
      <c r="H73" s="24"/>
      <c r="I73" s="223">
        <f>0.01*I16</f>
        <v>0</v>
      </c>
      <c r="J73" s="184"/>
      <c r="K73" s="190">
        <v>0</v>
      </c>
      <c r="L73" s="75"/>
      <c r="M73" s="100"/>
      <c r="N73" s="56">
        <f>SUM(N17*0.02/3)</f>
        <v>386.66666666666669</v>
      </c>
      <c r="O73" s="83">
        <f>SUM(N17+O17)*0.02/3</f>
        <v>1720</v>
      </c>
      <c r="P73" s="47">
        <f>SUM(N17,O17,P17)*0.02/3</f>
        <v>3553.3333333333335</v>
      </c>
      <c r="Q73" s="56">
        <f>SUM(O17,N17,P17,Q17-Q76)*0.02/3</f>
        <v>4386.666666666667</v>
      </c>
      <c r="R73" s="56">
        <f>SUM(N17,P17,O17,Q17,R17-R76-Q76)*0.02/3</f>
        <v>4553.333333333333</v>
      </c>
      <c r="S73" s="221">
        <f>SUM(N17,O17,Q17,P17,R17,S17-S76-R76-Q76)*0.02/3</f>
        <v>4053.3333333333335</v>
      </c>
      <c r="T73" s="52"/>
      <c r="U73" s="56">
        <f>SUM(N17,O17,P17,R17,Q17,S17,U17-U76-S76-R76-Q76)*0.02/3</f>
        <v>2720</v>
      </c>
      <c r="V73" s="56">
        <f>SUM(N17,O17,P17,Q17,S17,R17,U17,V17-V76-U76-S76-R76,Q76)*0.02/3</f>
        <v>2053.3333333333335</v>
      </c>
      <c r="W73" s="56">
        <f>SUM(N17,O17,P17,Q17,R17,U17,S17,V17,W17-W76-V76-U76-S76-R76-Q76)*0.02/3</f>
        <v>0</v>
      </c>
      <c r="X73" s="25">
        <f>SUM(I73:W73)</f>
        <v>23426.666666666664</v>
      </c>
      <c r="Y73" s="28">
        <f>SUM(X13-Y72)</f>
        <v>1038814</v>
      </c>
      <c r="AA73" s="27"/>
      <c r="AB73" s="26"/>
      <c r="AC73" s="27"/>
      <c r="AD73" s="26"/>
      <c r="AE73" s="27"/>
      <c r="AF73" s="26"/>
      <c r="AG73" s="27"/>
    </row>
    <row r="74" spans="1:34" s="28" customFormat="1" ht="15" customHeight="1" x14ac:dyDescent="0.25">
      <c r="A74" s="121" t="s">
        <v>94</v>
      </c>
      <c r="B74" s="79"/>
      <c r="C74" s="22"/>
      <c r="D74" s="21"/>
      <c r="E74" s="20"/>
      <c r="F74" s="21"/>
      <c r="G74" s="21"/>
      <c r="H74" s="24"/>
      <c r="I74" s="223"/>
      <c r="J74" s="184"/>
      <c r="K74" s="190"/>
      <c r="L74" s="75"/>
      <c r="M74" s="56"/>
      <c r="N74" s="88">
        <f>0.01*1440000</f>
        <v>14400</v>
      </c>
      <c r="O74" s="83"/>
      <c r="P74" s="47"/>
      <c r="Q74" s="55"/>
      <c r="R74" s="50"/>
      <c r="S74" s="175"/>
      <c r="T74" s="52"/>
      <c r="U74" s="55"/>
      <c r="V74" s="88"/>
      <c r="W74" s="87"/>
      <c r="X74" s="25">
        <f>SUM(L74:W74)</f>
        <v>14400</v>
      </c>
      <c r="Y74" s="207">
        <f>SUM(Y21-Y72)</f>
        <v>4680922</v>
      </c>
      <c r="Z74" s="26" t="s">
        <v>98</v>
      </c>
      <c r="AA74" s="27"/>
      <c r="AB74" s="26"/>
      <c r="AC74" s="27"/>
      <c r="AD74" s="26"/>
      <c r="AE74" s="27"/>
      <c r="AF74" s="26"/>
      <c r="AG74" s="27"/>
    </row>
    <row r="75" spans="1:34" s="28" customFormat="1" ht="15" customHeight="1" x14ac:dyDescent="0.25">
      <c r="A75" s="121" t="s">
        <v>89</v>
      </c>
      <c r="B75" s="79"/>
      <c r="C75" s="22"/>
      <c r="D75" s="21"/>
      <c r="E75" s="20"/>
      <c r="F75" s="21"/>
      <c r="G75" s="21"/>
      <c r="H75" s="24"/>
      <c r="I75" s="223"/>
      <c r="J75" s="173"/>
      <c r="K75" s="81"/>
      <c r="L75" s="88">
        <f>SUM(I20-L77)*0.08/3</f>
        <v>666.66666666666663</v>
      </c>
      <c r="M75" s="88">
        <f t="shared" ref="M75:S75" si="24">SUM(L20-M77)*0.08/3</f>
        <v>666.66666666666663</v>
      </c>
      <c r="N75" s="88">
        <f t="shared" si="24"/>
        <v>3333.3333333333335</v>
      </c>
      <c r="O75" s="83">
        <f t="shared" si="24"/>
        <v>16133.333333333334</v>
      </c>
      <c r="P75" s="47">
        <f t="shared" si="24"/>
        <v>26800</v>
      </c>
      <c r="Q75" s="88">
        <f t="shared" si="24"/>
        <v>27466.666666666668</v>
      </c>
      <c r="R75" s="88">
        <f t="shared" si="24"/>
        <v>24133.333333333332</v>
      </c>
      <c r="S75" s="175">
        <f t="shared" si="24"/>
        <v>19466.666666666668</v>
      </c>
      <c r="T75" s="52"/>
      <c r="U75" s="88">
        <f>SUM(S20-U77)*0.08/3</f>
        <v>14666.666666666666</v>
      </c>
      <c r="V75" s="88">
        <f>SUM(U20-V77)*0.08/3</f>
        <v>7333.333333333333</v>
      </c>
      <c r="W75" s="88">
        <f>SUM(V20-W77)*0.08/3</f>
        <v>-666.66666666666663</v>
      </c>
      <c r="X75" s="25">
        <f>SUM(L75:W75)</f>
        <v>140000.00000000003</v>
      </c>
      <c r="Y75" s="26"/>
      <c r="Z75" s="26"/>
      <c r="AA75" s="27"/>
      <c r="AB75" s="26"/>
      <c r="AC75" s="27"/>
      <c r="AD75" s="26"/>
      <c r="AE75" s="27"/>
      <c r="AF75" s="26"/>
      <c r="AG75" s="27"/>
    </row>
    <row r="76" spans="1:34" s="66" customFormat="1" ht="15" customHeight="1" x14ac:dyDescent="0.25">
      <c r="A76" s="110" t="s">
        <v>92</v>
      </c>
      <c r="B76" s="95"/>
      <c r="C76" s="64"/>
      <c r="D76" s="63"/>
      <c r="E76" s="63"/>
      <c r="F76" s="63"/>
      <c r="G76" s="63"/>
      <c r="H76" s="114"/>
      <c r="I76" s="224">
        <v>0</v>
      </c>
      <c r="J76" s="227"/>
      <c r="K76" s="81">
        <f t="shared" ref="K76:K83" si="25">SUM(B76:I76)</f>
        <v>0</v>
      </c>
      <c r="L76" s="180"/>
      <c r="M76" s="39">
        <v>0</v>
      </c>
      <c r="N76" s="67">
        <v>0</v>
      </c>
      <c r="O76" s="191"/>
      <c r="P76" s="47"/>
      <c r="Q76" s="47">
        <v>50000</v>
      </c>
      <c r="R76" s="88">
        <v>150000</v>
      </c>
      <c r="S76" s="175">
        <v>200000</v>
      </c>
      <c r="T76" s="52"/>
      <c r="U76" s="87">
        <v>200000</v>
      </c>
      <c r="V76" s="48">
        <v>200000</v>
      </c>
      <c r="W76" s="60">
        <v>208000</v>
      </c>
      <c r="X76" s="25">
        <f>SUM(I76:W76)</f>
        <v>1008000</v>
      </c>
      <c r="Y76" s="147"/>
    </row>
    <row r="77" spans="1:34" s="66" customFormat="1" ht="15" customHeight="1" x14ac:dyDescent="0.25">
      <c r="A77" s="110" t="s">
        <v>60</v>
      </c>
      <c r="B77" s="95"/>
      <c r="C77" s="64"/>
      <c r="D77" s="134"/>
      <c r="E77" s="64"/>
      <c r="F77" s="134"/>
      <c r="G77" s="134"/>
      <c r="H77" s="65"/>
      <c r="I77" s="224"/>
      <c r="J77" s="227"/>
      <c r="K77" s="81"/>
      <c r="L77" s="180"/>
      <c r="M77" s="39"/>
      <c r="N77" s="67"/>
      <c r="O77" s="83"/>
      <c r="P77" s="47"/>
      <c r="Q77" s="77">
        <v>100000</v>
      </c>
      <c r="R77" s="56">
        <v>250000</v>
      </c>
      <c r="S77" s="175">
        <v>300000</v>
      </c>
      <c r="T77" s="52"/>
      <c r="U77" s="56">
        <v>300000</v>
      </c>
      <c r="V77" s="56">
        <v>275000</v>
      </c>
      <c r="W77" s="56">
        <v>300000</v>
      </c>
      <c r="X77" s="25">
        <f>SUM(I77:W77)</f>
        <v>1525000</v>
      </c>
      <c r="Y77" s="147"/>
    </row>
    <row r="78" spans="1:34" s="66" customFormat="1" ht="15" customHeight="1" x14ac:dyDescent="0.25">
      <c r="A78" s="110" t="s">
        <v>108</v>
      </c>
      <c r="B78" s="95"/>
      <c r="C78" s="64"/>
      <c r="D78" s="134"/>
      <c r="E78" s="64"/>
      <c r="F78" s="134"/>
      <c r="G78" s="134"/>
      <c r="H78" s="65"/>
      <c r="I78" s="224"/>
      <c r="J78" s="227"/>
      <c r="K78" s="81"/>
      <c r="L78" s="181"/>
      <c r="M78" s="63"/>
      <c r="N78" s="67">
        <f>0.01*1300000</f>
        <v>13000</v>
      </c>
      <c r="O78" s="192"/>
      <c r="P78" s="22"/>
      <c r="Q78" s="115"/>
      <c r="R78" s="184"/>
      <c r="S78" s="175"/>
      <c r="T78" s="52"/>
      <c r="U78" s="24"/>
      <c r="V78" s="184"/>
      <c r="W78" s="23"/>
      <c r="X78" s="25">
        <f>SUM(L78:W78)</f>
        <v>13000</v>
      </c>
      <c r="Y78" s="147"/>
    </row>
    <row r="79" spans="1:34" s="55" customFormat="1" ht="15" customHeight="1" x14ac:dyDescent="0.25">
      <c r="A79" s="75" t="s">
        <v>76</v>
      </c>
      <c r="B79" s="128"/>
      <c r="C79" s="47"/>
      <c r="D79" s="84"/>
      <c r="E79" s="47"/>
      <c r="F79" s="84"/>
      <c r="G79" s="84"/>
      <c r="H79" s="60"/>
      <c r="I79" s="88"/>
      <c r="J79" s="86"/>
      <c r="K79" s="81">
        <f t="shared" si="25"/>
        <v>0</v>
      </c>
      <c r="L79" s="75"/>
      <c r="M79" s="50"/>
      <c r="N79" s="50">
        <v>250000</v>
      </c>
      <c r="O79" s="87"/>
      <c r="P79" s="47"/>
      <c r="Q79" s="88"/>
      <c r="R79" s="56"/>
      <c r="S79" s="175"/>
      <c r="T79" s="52"/>
      <c r="U79" s="84"/>
      <c r="V79" s="48"/>
      <c r="W79" s="60"/>
      <c r="X79" s="52">
        <f>SUM(N79:W79)</f>
        <v>250000</v>
      </c>
      <c r="Y79" s="147"/>
      <c r="Z79" s="53"/>
      <c r="AA79" s="54"/>
      <c r="AB79" s="53"/>
      <c r="AC79" s="54"/>
      <c r="AD79" s="53"/>
      <c r="AE79" s="54"/>
      <c r="AF79" s="53"/>
      <c r="AG79" s="54"/>
    </row>
    <row r="80" spans="1:34" s="55" customFormat="1" ht="15" customHeight="1" x14ac:dyDescent="0.25">
      <c r="A80" s="75" t="s">
        <v>38</v>
      </c>
      <c r="B80" s="128">
        <v>2500</v>
      </c>
      <c r="C80" s="47">
        <v>700</v>
      </c>
      <c r="D80" s="50">
        <v>700</v>
      </c>
      <c r="E80" s="50">
        <v>700</v>
      </c>
      <c r="F80" s="50">
        <v>700</v>
      </c>
      <c r="G80" s="50">
        <v>400</v>
      </c>
      <c r="H80" s="60">
        <v>400</v>
      </c>
      <c r="I80" s="88">
        <v>400</v>
      </c>
      <c r="J80" s="86"/>
      <c r="K80" s="81">
        <f>SUM(B80:I80)</f>
        <v>6500</v>
      </c>
      <c r="L80" s="75"/>
      <c r="M80" s="50">
        <v>1000</v>
      </c>
      <c r="N80" s="88">
        <v>1000</v>
      </c>
      <c r="O80" s="87">
        <v>1000</v>
      </c>
      <c r="P80" s="47">
        <f>0.088*P11</f>
        <v>0</v>
      </c>
      <c r="Q80" s="88">
        <f>0.088*Q13</f>
        <v>96800</v>
      </c>
      <c r="R80" s="56">
        <f t="shared" ref="R80:W80" si="26">0.088*R13</f>
        <v>96800</v>
      </c>
      <c r="S80" s="175">
        <f t="shared" si="26"/>
        <v>36520</v>
      </c>
      <c r="T80" s="52"/>
      <c r="U80" s="84">
        <f t="shared" si="26"/>
        <v>95480</v>
      </c>
      <c r="V80" s="48">
        <f t="shared" si="26"/>
        <v>48048</v>
      </c>
      <c r="W80" s="60">
        <f t="shared" si="26"/>
        <v>47960</v>
      </c>
      <c r="X80" s="52">
        <f>SUM(K80:W80)</f>
        <v>431108</v>
      </c>
      <c r="Y80" s="53"/>
      <c r="Z80" s="54"/>
      <c r="AA80" s="53"/>
      <c r="AB80" s="54"/>
      <c r="AC80" s="53"/>
      <c r="AD80" s="54"/>
      <c r="AE80" s="53"/>
      <c r="AF80" s="54"/>
      <c r="AG80" s="53"/>
      <c r="AH80" s="54"/>
    </row>
    <row r="81" spans="1:26" s="35" customFormat="1" ht="15" hidden="1" customHeight="1" x14ac:dyDescent="0.25">
      <c r="A81" s="122" t="s">
        <v>9</v>
      </c>
      <c r="B81" s="38"/>
      <c r="C81" s="37"/>
      <c r="D81" s="39"/>
      <c r="E81" s="39"/>
      <c r="F81" s="39"/>
      <c r="G81" s="39"/>
      <c r="H81" s="36"/>
      <c r="I81" s="67"/>
      <c r="J81" s="174"/>
      <c r="K81" s="81">
        <f t="shared" si="25"/>
        <v>0</v>
      </c>
      <c r="L81" s="180"/>
      <c r="M81" s="39"/>
      <c r="N81" s="67"/>
      <c r="O81" s="49"/>
      <c r="P81" s="37"/>
      <c r="Q81" s="67"/>
      <c r="R81" s="67"/>
      <c r="S81" s="174"/>
      <c r="T81" s="52"/>
      <c r="U81" s="41"/>
      <c r="V81" s="177"/>
      <c r="W81" s="40"/>
      <c r="X81" s="52">
        <f t="shared" ref="X81:X82" si="27">SUM(K81:W81)</f>
        <v>0</v>
      </c>
    </row>
    <row r="82" spans="1:26" s="35" customFormat="1" ht="15" hidden="1" customHeight="1" x14ac:dyDescent="0.25">
      <c r="A82" s="122" t="s">
        <v>10</v>
      </c>
      <c r="B82" s="38"/>
      <c r="C82" s="37"/>
      <c r="D82" s="39"/>
      <c r="E82" s="39"/>
      <c r="F82" s="39"/>
      <c r="G82" s="39"/>
      <c r="H82" s="36"/>
      <c r="I82" s="67"/>
      <c r="J82" s="174"/>
      <c r="K82" s="81">
        <f t="shared" si="25"/>
        <v>0</v>
      </c>
      <c r="L82" s="180"/>
      <c r="M82" s="39"/>
      <c r="N82" s="67"/>
      <c r="O82" s="49"/>
      <c r="P82" s="37"/>
      <c r="Q82" s="67"/>
      <c r="R82" s="67"/>
      <c r="S82" s="174"/>
      <c r="T82" s="52"/>
      <c r="U82" s="41"/>
      <c r="V82" s="177"/>
      <c r="W82" s="40"/>
      <c r="X82" s="52">
        <f t="shared" si="27"/>
        <v>0</v>
      </c>
    </row>
    <row r="83" spans="1:26" s="35" customFormat="1" ht="15" customHeight="1" x14ac:dyDescent="0.25">
      <c r="A83" s="122" t="s">
        <v>18</v>
      </c>
      <c r="B83" s="38"/>
      <c r="C83" s="37"/>
      <c r="D83" s="39"/>
      <c r="E83" s="39"/>
      <c r="F83" s="39"/>
      <c r="G83" s="39"/>
      <c r="H83" s="36"/>
      <c r="I83" s="67"/>
      <c r="J83" s="174"/>
      <c r="K83" s="81">
        <f t="shared" si="25"/>
        <v>0</v>
      </c>
      <c r="L83" s="180"/>
      <c r="M83" s="39"/>
      <c r="N83" s="67"/>
      <c r="O83" s="49"/>
      <c r="P83" s="37"/>
      <c r="Q83" s="88">
        <v>180500</v>
      </c>
      <c r="R83" s="56"/>
      <c r="S83" s="175"/>
      <c r="T83" s="52"/>
      <c r="U83" s="156"/>
      <c r="V83" s="178"/>
      <c r="X83" s="52">
        <f>SUM(K83:R83)</f>
        <v>180500</v>
      </c>
      <c r="Y83" s="96">
        <f>SUM(X73:X83)</f>
        <v>3585434.666666667</v>
      </c>
    </row>
    <row r="84" spans="1:26" s="35" customFormat="1" ht="13.8" thickBot="1" x14ac:dyDescent="0.3">
      <c r="A84" s="139" t="s">
        <v>11</v>
      </c>
      <c r="B84" s="97">
        <f t="shared" ref="B84:X84" si="28">SUM(B72:B83,B52)</f>
        <v>28640</v>
      </c>
      <c r="C84" s="97">
        <f t="shared" si="28"/>
        <v>8270</v>
      </c>
      <c r="D84" s="97">
        <f t="shared" si="28"/>
        <v>32510</v>
      </c>
      <c r="E84" s="97">
        <f t="shared" si="28"/>
        <v>22070</v>
      </c>
      <c r="F84" s="97">
        <f t="shared" si="28"/>
        <v>21070</v>
      </c>
      <c r="G84" s="97">
        <f t="shared" si="28"/>
        <v>33170</v>
      </c>
      <c r="H84" s="169">
        <f t="shared" si="28"/>
        <v>20400</v>
      </c>
      <c r="I84" s="225">
        <f t="shared" si="28"/>
        <v>20320</v>
      </c>
      <c r="J84" s="169"/>
      <c r="K84" s="97">
        <f t="shared" si="28"/>
        <v>181436</v>
      </c>
      <c r="L84" s="169">
        <f t="shared" si="28"/>
        <v>5666.666666666667</v>
      </c>
      <c r="M84" s="160">
        <f t="shared" si="28"/>
        <v>38416.666666666664</v>
      </c>
      <c r="N84" s="160">
        <f t="shared" si="28"/>
        <v>491170</v>
      </c>
      <c r="O84" s="169">
        <f t="shared" si="28"/>
        <v>538403.33333333337</v>
      </c>
      <c r="P84" s="154">
        <f t="shared" si="28"/>
        <v>464003.33333333337</v>
      </c>
      <c r="Q84" s="97">
        <f t="shared" si="28"/>
        <v>992503.33333333326</v>
      </c>
      <c r="R84" s="160">
        <f t="shared" si="28"/>
        <v>1050286.6666666667</v>
      </c>
      <c r="S84" s="169">
        <f t="shared" si="28"/>
        <v>1149090</v>
      </c>
      <c r="T84" s="169"/>
      <c r="U84" s="169">
        <f t="shared" si="28"/>
        <v>977716.66666666663</v>
      </c>
      <c r="V84" s="169">
        <f t="shared" si="28"/>
        <v>813684.66666666674</v>
      </c>
      <c r="W84" s="154">
        <f t="shared" si="28"/>
        <v>635243.33333333337</v>
      </c>
      <c r="X84" s="97">
        <f t="shared" si="28"/>
        <v>7337620.666666667</v>
      </c>
      <c r="Y84" s="147">
        <f>SUM(Y74-Y83)</f>
        <v>1095487.333333333</v>
      </c>
      <c r="Z84" s="66" t="s">
        <v>99</v>
      </c>
    </row>
    <row r="85" spans="1:26" s="35" customFormat="1" ht="16.8" customHeight="1" thickBot="1" x14ac:dyDescent="0.3">
      <c r="A85" s="140" t="s">
        <v>79</v>
      </c>
      <c r="B85" s="143">
        <f t="shared" ref="B85:I85" si="29">(B22-B84)</f>
        <v>121360</v>
      </c>
      <c r="C85" s="143">
        <f t="shared" si="29"/>
        <v>123090</v>
      </c>
      <c r="D85" s="143">
        <f t="shared" si="29"/>
        <v>100580</v>
      </c>
      <c r="E85" s="143">
        <f t="shared" si="29"/>
        <v>85510</v>
      </c>
      <c r="F85" s="143">
        <f t="shared" si="29"/>
        <v>67940</v>
      </c>
      <c r="G85" s="143">
        <f t="shared" si="29"/>
        <v>34770</v>
      </c>
      <c r="H85" s="161">
        <f t="shared" si="29"/>
        <v>14370</v>
      </c>
      <c r="I85" s="211">
        <f t="shared" si="29"/>
        <v>39450</v>
      </c>
      <c r="J85" s="170"/>
      <c r="K85" s="143"/>
      <c r="L85" s="170">
        <f t="shared" ref="L85:S85" si="30">(L22-L84)</f>
        <v>33783.333333333336</v>
      </c>
      <c r="M85" s="131">
        <f t="shared" si="30"/>
        <v>101033.33333333334</v>
      </c>
      <c r="N85" s="161">
        <f t="shared" si="30"/>
        <v>89863.333333333372</v>
      </c>
      <c r="O85" s="170">
        <f t="shared" si="30"/>
        <v>251460</v>
      </c>
      <c r="P85" s="155">
        <f t="shared" si="30"/>
        <v>270456.66666666663</v>
      </c>
      <c r="Q85" s="143">
        <f t="shared" si="30"/>
        <v>857753.33333333326</v>
      </c>
      <c r="R85" s="161">
        <f t="shared" si="30"/>
        <v>1362266.6666666663</v>
      </c>
      <c r="S85" s="170">
        <f t="shared" si="30"/>
        <v>967696.66666666605</v>
      </c>
      <c r="T85" s="170">
        <f>SUM(T72,T52)</f>
        <v>1440000</v>
      </c>
      <c r="U85" s="170">
        <f>(U22-U84)</f>
        <v>1170459.9999999995</v>
      </c>
      <c r="V85" s="170">
        <f>(V22-V84)</f>
        <v>950823.33333333279</v>
      </c>
      <c r="W85" s="155">
        <f>(W22-W84)</f>
        <v>925413.33333333267</v>
      </c>
      <c r="X85" s="96"/>
      <c r="Y85" s="96"/>
    </row>
    <row r="86" spans="1:26" ht="26.4" hidden="1" customHeight="1" x14ac:dyDescent="0.2">
      <c r="A86" s="106"/>
      <c r="B86" s="16"/>
      <c r="C86" s="16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16"/>
      <c r="S86" s="16"/>
      <c r="T86" s="16"/>
      <c r="U86" s="16"/>
      <c r="V86" s="16"/>
      <c r="W86" s="16"/>
      <c r="X86" s="16"/>
      <c r="Y86" s="19"/>
    </row>
    <row r="87" spans="1:26" ht="26.4" hidden="1" customHeight="1" x14ac:dyDescent="0.2">
      <c r="A87" s="14" t="s">
        <v>17</v>
      </c>
      <c r="B87" s="10"/>
      <c r="C87" s="12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3"/>
      <c r="S87" s="13"/>
      <c r="T87" s="13"/>
      <c r="U87" s="13"/>
      <c r="V87" s="13"/>
      <c r="W87" s="13"/>
      <c r="X87" s="9"/>
    </row>
    <row r="88" spans="1:26" ht="26.4" hidden="1" customHeight="1" x14ac:dyDescent="0.2">
      <c r="A88" s="6" t="s">
        <v>12</v>
      </c>
      <c r="B88" s="7">
        <v>0</v>
      </c>
      <c r="C88" s="7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</row>
    <row r="89" spans="1:26" ht="26.4" hidden="1" customHeight="1" x14ac:dyDescent="0.2">
      <c r="A89" s="6" t="s">
        <v>13</v>
      </c>
      <c r="B89" s="7">
        <v>0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</row>
    <row r="90" spans="1:26" ht="26.4" hidden="1" customHeight="1" x14ac:dyDescent="0.2">
      <c r="A90" s="6" t="s">
        <v>14</v>
      </c>
      <c r="B90" s="7">
        <v>0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</row>
    <row r="91" spans="1:26" ht="26.4" hidden="1" customHeight="1" x14ac:dyDescent="0.2">
      <c r="A91" s="6" t="s">
        <v>15</v>
      </c>
      <c r="B91" s="7">
        <v>0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</row>
    <row r="92" spans="1:26" ht="26.4" hidden="1" customHeight="1" x14ac:dyDescent="0.2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</row>
    <row r="93" spans="1:26" ht="26.4" hidden="1" customHeight="1" x14ac:dyDescent="0.2"/>
    <row r="94" spans="1:26" ht="26.4" hidden="1" customHeight="1" x14ac:dyDescent="0.25">
      <c r="A94"/>
      <c r="X94" s="18"/>
    </row>
    <row r="95" spans="1:26" hidden="1" x14ac:dyDescent="0.2">
      <c r="A95"/>
    </row>
    <row r="96" spans="1:26" ht="13.8" customHeight="1" x14ac:dyDescent="0.25">
      <c r="A96"/>
      <c r="B96" s="17"/>
      <c r="K96" s="17"/>
      <c r="T96" s="240"/>
      <c r="X96" s="144"/>
    </row>
    <row r="97" spans="1:23" ht="13.2" x14ac:dyDescent="0.25">
      <c r="A97"/>
      <c r="M97" s="17"/>
      <c r="S97" s="17"/>
      <c r="T97" s="33"/>
      <c r="U97" s="17"/>
      <c r="V97" s="17"/>
      <c r="W97" s="17"/>
    </row>
    <row r="98" spans="1:23" x14ac:dyDescent="0.2">
      <c r="A98"/>
      <c r="W98" s="17"/>
    </row>
    <row r="99" spans="1:23" x14ac:dyDescent="0.2">
      <c r="A99"/>
    </row>
    <row r="100" spans="1:23" x14ac:dyDescent="0.2">
      <c r="A100"/>
    </row>
    <row r="101" spans="1:23" x14ac:dyDescent="0.2">
      <c r="A101"/>
      <c r="S101" s="145" t="s">
        <v>63</v>
      </c>
      <c r="T101" s="145"/>
      <c r="U101" s="145"/>
      <c r="V101" s="145"/>
    </row>
    <row r="102" spans="1:23" x14ac:dyDescent="0.2">
      <c r="A102"/>
    </row>
    <row r="103" spans="1:23" x14ac:dyDescent="0.2">
      <c r="A103"/>
    </row>
    <row r="104" spans="1:23" x14ac:dyDescent="0.2">
      <c r="A104"/>
    </row>
    <row r="105" spans="1:23" x14ac:dyDescent="0.2">
      <c r="A105"/>
    </row>
    <row r="106" spans="1:23" x14ac:dyDescent="0.2">
      <c r="A106"/>
    </row>
    <row r="107" spans="1:23" x14ac:dyDescent="0.2">
      <c r="A107"/>
    </row>
    <row r="108" spans="1:23" x14ac:dyDescent="0.2">
      <c r="A108"/>
    </row>
    <row r="109" spans="1:23" x14ac:dyDescent="0.2">
      <c r="A109"/>
    </row>
    <row r="110" spans="1:23" x14ac:dyDescent="0.2">
      <c r="A110"/>
    </row>
    <row r="111" spans="1:23" x14ac:dyDescent="0.2">
      <c r="A111"/>
    </row>
    <row r="112" spans="1:23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</sheetData>
  <mergeCells count="3">
    <mergeCell ref="L4:W5"/>
    <mergeCell ref="D4:K5"/>
    <mergeCell ref="C4:C5"/>
  </mergeCells>
  <phoneticPr fontId="0" type="noConversion"/>
  <pageMargins left="0.89" right="0" top="0.43" bottom="0.19" header="0.2" footer="0"/>
  <pageSetup scale="4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 Flow</vt:lpstr>
      <vt:lpstr>'Cash Flow'!Print_Titles</vt:lpstr>
    </vt:vector>
  </TitlesOfParts>
  <Company>SCORE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TRS</cp:lastModifiedBy>
  <cp:lastPrinted>2012-04-09T16:24:51Z</cp:lastPrinted>
  <dcterms:created xsi:type="dcterms:W3CDTF">2001-02-13T23:13:55Z</dcterms:created>
  <dcterms:modified xsi:type="dcterms:W3CDTF">2012-04-09T16:25:09Z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TC010175121033</vt:lpwstr>
  </property>
</Properties>
</file>